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Downtime Resources\"/>
    </mc:Choice>
  </mc:AlternateContent>
  <xr:revisionPtr revIDLastSave="0" documentId="8_{3F30FBD6-BDCF-4BC9-9969-4E978E08B320}" xr6:coauthVersionLast="47" xr6:coauthVersionMax="47" xr10:uidLastSave="{00000000-0000-0000-0000-000000000000}"/>
  <workbookProtection workbookAlgorithmName="SHA-512" workbookHashValue="AMHjouCsWhiOb7eWHdNBfa5vMN/jZcbXuJCYpQC2rMez00xHd2MxiBAgDZ/pEvx1oO7ggBB/bE9A7yMa1uO/oA==" workbookSaltValue="/nOydlv9SUtntwQZf+ej7g==" workbookSpinCount="100000" lockStructure="1"/>
  <bookViews>
    <workbookView xWindow="-120" yWindow="-120" windowWidth="29040" windowHeight="17640" firstSheet="11" activeTab="16" xr2:uid="{00000000-000D-0000-FFFF-FFFF00000000}"/>
  </bookViews>
  <sheets>
    <sheet name="Read Me" sheetId="15" r:id="rId1"/>
    <sheet name="ANION GAP" sheetId="8" r:id="rId2"/>
    <sheet name="AVERAGE MEAN GLUCOSE" sheetId="31" r:id="rId3"/>
    <sheet name="BODY FLUID, MANUAL COUNT" sheetId="29" r:id="rId4"/>
    <sheet name="CSF, MANUAL COUNT (HOSPITAL)" sheetId="30" r:id="rId5"/>
    <sheet name="CREATININE CLEARANCE" sheetId="16" r:id="rId6"/>
    <sheet name="GFR GLOMERULAR FILTRATION RATE " sheetId="24" r:id="rId7"/>
    <sheet name="KAPPA LAMBDA LIGHT CHAIN RATIO" sheetId="17" r:id="rId8"/>
    <sheet name="LDL CALCULATED" sheetId="6" r:id="rId9"/>
    <sheet name="MALB_CREAT RATIO RANDOM URINE" sheetId="19" r:id="rId10"/>
    <sheet name="MALB EXCRET RATE TIMED URINE" sheetId="20" r:id="rId11"/>
    <sheet name="OSMOLALITY" sheetId="7" r:id="rId12"/>
    <sheet name="PROTEIN_CREATININE RATIO URINE" sheetId="14" r:id="rId13"/>
    <sheet name="SEMEN ANALYSIS" sheetId="26" r:id="rId14"/>
    <sheet name="TIBC &amp; IRON SAT." sheetId="22" r:id="rId15"/>
    <sheet name="TIMED URINE 24 HOURS" sheetId="28" r:id="rId16"/>
    <sheet name="WBC ABS COUNT" sheetId="2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6" i="28" l="1"/>
  <c r="B4" i="31"/>
  <c r="B71" i="28"/>
  <c r="B8" i="30"/>
  <c r="B66" i="28"/>
  <c r="B61" i="28"/>
  <c r="B50" i="28"/>
  <c r="B45" i="28"/>
  <c r="B40" i="28"/>
  <c r="B35" i="28"/>
  <c r="B30" i="28"/>
  <c r="B25" i="28"/>
  <c r="B20" i="28"/>
  <c r="B15" i="28"/>
  <c r="B10" i="28"/>
  <c r="B22" i="27" l="1"/>
  <c r="B23" i="27"/>
  <c r="B24" i="27"/>
  <c r="B25" i="27"/>
  <c r="B21" i="27"/>
  <c r="B15" i="24" l="1"/>
  <c r="B16" i="24"/>
  <c r="B15" i="30"/>
  <c r="B17" i="16" l="1"/>
  <c r="B6" i="29"/>
  <c r="B4" i="29"/>
  <c r="B56" i="28"/>
  <c r="B16" i="27"/>
  <c r="B17" i="27"/>
  <c r="B18" i="27"/>
  <c r="B19" i="27"/>
  <c r="B20" i="27"/>
  <c r="B15" i="27"/>
  <c r="B15" i="26" l="1"/>
  <c r="B17" i="26" s="1"/>
  <c r="B5" i="26"/>
  <c r="B9" i="26" s="1"/>
  <c r="B6" i="22"/>
  <c r="B6" i="24"/>
  <c r="B5" i="24"/>
  <c r="B5" i="22"/>
  <c r="B6" i="20"/>
  <c r="B7" i="20" s="1"/>
  <c r="B5" i="19"/>
  <c r="B5" i="17"/>
  <c r="B7" i="16"/>
  <c r="B6" i="6"/>
  <c r="B5" i="14"/>
  <c r="B6" i="8"/>
  <c r="B6" i="7"/>
  <c r="B11" i="26" l="1"/>
</calcChain>
</file>

<file path=xl/sharedStrings.xml><?xml version="1.0" encoding="utf-8"?>
<sst xmlns="http://schemas.openxmlformats.org/spreadsheetml/2006/main" count="315" uniqueCount="235">
  <si>
    <t>Purpose</t>
  </si>
  <si>
    <t xml:space="preserve">This workbook is to be used during any extended  downtime and is only a supporting tool to assist in the calculation of certain parameters. 
There are no safeguards within the workbook which will prevent erroneous results (absurd values) or mis calculations from occuring.
 </t>
  </si>
  <si>
    <t>The Workbook is locked down to only allow the required variables to be entered. The formulas are restricted and can only be modified by the Beaker Team.</t>
  </si>
  <si>
    <t>Each calculation is accessible as a TAB across the bottom of the workbook.</t>
  </si>
  <si>
    <t>Use of this workbook is at the users discretion. Care must be taken when inputing the variables for the equations.
Calculations will occur with each value entered.
Users must ensure all variables are entered and validated against the printout before recording the calculated value.</t>
  </si>
  <si>
    <t>The Workbook has been validated. 
This is a link to the validation performed on the workbook. The document validation is included within the CAP validation documents by equation.</t>
  </si>
  <si>
    <t>https://scrippshealth.sharepoint.com/:f:/r/sites/Beaker/CP%20Documents/09%20CAP%20Inspection/05%20Calculation%20Monitor%20(Beaker%20Equation%20Validation)/CAP%20calculation%20validation/2020%20Calculation%20Validation/Chemistry%202020?csf=1&amp;web=1&amp;e=3CzgDd</t>
  </si>
  <si>
    <t>Beaker Team 5/3/2021</t>
  </si>
  <si>
    <t>Male GFR</t>
  </si>
  <si>
    <t>Input variables from printout</t>
  </si>
  <si>
    <t>Creatinine</t>
  </si>
  <si>
    <t>Age</t>
  </si>
  <si>
    <t xml:space="preserve"> *** Do Not Report GFR  if Under 18 yrs ****</t>
  </si>
  <si>
    <t>African Male GFR Calculated</t>
  </si>
  <si>
    <t>African Male Equation</t>
  </si>
  <si>
    <t>175 X ({Creatinine} ^(-1.154)) X ({Age Years} ^(-0.203)) X 1.212</t>
  </si>
  <si>
    <t>Non-African Male GFR Calculated</t>
  </si>
  <si>
    <t>Non-African Male Equation</t>
  </si>
  <si>
    <t>175 X ({Creatinine}^(-1.154)) X ({Age Years} ^(-0.203))</t>
  </si>
  <si>
    <t>Results &gt;60 report as &gt;60</t>
  </si>
  <si>
    <t>Female GFR</t>
  </si>
  <si>
    <t>African Female GFR Calculated</t>
  </si>
  <si>
    <t>African Female Equation</t>
  </si>
  <si>
    <t>175 X ({Creatinine}^(-1.154)) X ({Age Years}^(-0.203)) X (0.742) X (1.212)</t>
  </si>
  <si>
    <t>Non-African Female GFR Calculated</t>
  </si>
  <si>
    <t>Non-African Female Equation</t>
  </si>
  <si>
    <t>175 X ({Creatinine}^(-1.154)) X ({Age Years}^(-0.203)) X 0.742</t>
  </si>
  <si>
    <t>LDL Equation</t>
  </si>
  <si>
    <t>{Cholesterol} – {HDL} –({Triglycerides} / 5)</t>
  </si>
  <si>
    <t>Cholesterol</t>
  </si>
  <si>
    <t>HDL</t>
  </si>
  <si>
    <t>Triglycerides</t>
  </si>
  <si>
    <t>***If Trigs greater than 400, result LDL as unable to calculate.***</t>
  </si>
  <si>
    <t>LDL Calculated</t>
  </si>
  <si>
    <t>Osmolality Equation</t>
  </si>
  <si>
    <t>(2x (Sodium)) + (BUN/2.8) + (Glucose / 18) </t>
  </si>
  <si>
    <t>Sodium</t>
  </si>
  <si>
    <t>Bun</t>
  </si>
  <si>
    <t>Glucose</t>
  </si>
  <si>
    <t>Osmolality Calculated</t>
  </si>
  <si>
    <t>Anion Gap Equation</t>
  </si>
  <si>
    <t>{Sodium} - ({Chloride} + {CO2}) </t>
  </si>
  <si>
    <t>Chloride</t>
  </si>
  <si>
    <t>C02</t>
  </si>
  <si>
    <t>Anion Gap Calculated</t>
  </si>
  <si>
    <t>Urine Creatinine, Timed Equation</t>
  </si>
  <si>
    <t>({Creatinine (UR)} X {Volume (UR)} X 24) / ({Time (UR)} X 100000)</t>
  </si>
  <si>
    <t>Urine Protein/Creatinine Ratio Equation</t>
  </si>
  <si>
    <t>({Protein (UR)} / {Creatinine (UR)}) X 1000</t>
  </si>
  <si>
    <t>Creatinine(UR)</t>
  </si>
  <si>
    <t>Protein(UR)</t>
  </si>
  <si>
    <t>Volume(UR)</t>
  </si>
  <si>
    <t>Time(UR)</t>
  </si>
  <si>
    <t>Timed Urine Protein/Creatinine Ratio Calculated</t>
  </si>
  <si>
    <t>Timed Urine Creatinine Calculated</t>
  </si>
  <si>
    <t>Urine Chloride, Timed Equation</t>
  </si>
  <si>
    <t>Urine Protein, Timed Equation</t>
  </si>
  <si>
    <t>({Protein (UR)} X {Volume (UR)} X 24)  / ({Time (UR)} X 100)</t>
  </si>
  <si>
    <t>Chloride(UR)</t>
  </si>
  <si>
    <t>Timed Urine Chloride Calculated</t>
  </si>
  <si>
    <t>Timed Urine Protein Calculated</t>
  </si>
  <si>
    <t>Urine Glucose, Timed Equation</t>
  </si>
  <si>
    <t>({Glucose (UR)} X {Volume (UR)} X 24) / ({Time (UR)} X 100000)</t>
  </si>
  <si>
    <t>Urine Urea, Timed Equation</t>
  </si>
  <si>
    <t>Glucose(UR)</t>
  </si>
  <si>
    <t>Urea Nitrogen (UR)</t>
  </si>
  <si>
    <t>Timed Urine Glucose Calculated</t>
  </si>
  <si>
    <t>Timed Urine Urea Calculated</t>
  </si>
  <si>
    <t>Urine Sodium, Timed Equation</t>
  </si>
  <si>
    <t>({Sodium (UR)} X {Volume (UR)} X 24) / ({Time (UR)} X 1000)</t>
  </si>
  <si>
    <t>Urine Uric Acid, Timed Equation</t>
  </si>
  <si>
    <t>Sodium(UR)</t>
  </si>
  <si>
    <t>Uric Acid(UR)</t>
  </si>
  <si>
    <t>Timed Urine Sodium Calculated</t>
  </si>
  <si>
    <t>Timed Uric Acid Calculated</t>
  </si>
  <si>
    <t>Urine Potassium, Timed Equation</t>
  </si>
  <si>
    <t>({Potassium (UR)} X {Volume (UR)} X 24) / ({Time (UR)} X 1000)</t>
  </si>
  <si>
    <t>Potassium(UR)</t>
  </si>
  <si>
    <t>Timed Urine Potassium Calculated</t>
  </si>
  <si>
    <t>Urine Microalbumim, Timed Equation</t>
  </si>
  <si>
    <t>({Microalbumin (UR)} X {Volume (UR)} X 24) / ({Time (UR) X 1000)</t>
  </si>
  <si>
    <t>Microalbumim (UR)</t>
  </si>
  <si>
    <t>Timed Urine Microalbumim Calculated</t>
  </si>
  <si>
    <t>Urine Calcium, Timed Equation</t>
  </si>
  <si>
    <t>({Calcium (UR)} X {Volume (UR)} X 24) / ({TIME (UR)} X 100)</t>
  </si>
  <si>
    <t>Calcium (UR)</t>
  </si>
  <si>
    <t>Timed Urine Calcium Calculated</t>
  </si>
  <si>
    <t>Urine Magnesium, Timed Equation</t>
  </si>
  <si>
    <t>({Magnesium (UR)} X {Volume (UR)} X 24) / ({Time (UR)} X 100)</t>
  </si>
  <si>
    <t>Magnesium (UR)</t>
  </si>
  <si>
    <t>Timed Urine Magnesium Calculated</t>
  </si>
  <si>
    <t>Urine Amylase, Timed Equation</t>
  </si>
  <si>
    <t>({Amylase (UR)} X {Volume (UR)}) / ({Time (UR)} X 1000)</t>
  </si>
  <si>
    <t>Amylase (UR)</t>
  </si>
  <si>
    <t>Timed Urine Amylase Calculated</t>
  </si>
  <si>
    <t>Urine Phosphorus, Timed Equation</t>
  </si>
  <si>
    <t>({Phosphorus (UR)} X {Volume (UR)} X 24) / ({Time (UR)} X 100000)</t>
  </si>
  <si>
    <t>Phosphorus (UR)</t>
  </si>
  <si>
    <t>Timed Urine Phosphorus Calculated</t>
  </si>
  <si>
    <t>Uncorrected Creatinine Clearance</t>
  </si>
  <si>
    <t>({Creatinine (UR)}/{Creatinine}) X ({Volume (UR)/({Time (UR)} X 60))</t>
  </si>
  <si>
    <t>Creatinine(Serum)</t>
  </si>
  <si>
    <t>Uncorrected Creatinine Clearance Calculated</t>
  </si>
  <si>
    <t>Urine Protein/Creatinine Ratio Calculated</t>
  </si>
  <si>
    <t>KAPPA LAMBDA</t>
  </si>
  <si>
    <t>Kappa/Lambda</t>
  </si>
  <si>
    <t>Kappa Quantitative Free Light Chains</t>
  </si>
  <si>
    <t>***If you get &lt; or &gt; in either Kappa or Lambda, ratio cannot be calculated.</t>
  </si>
  <si>
    <t>Lambda Quantitative Free Light Chains</t>
  </si>
  <si>
    <t>Kappa/Lambda Free Light Chain</t>
  </si>
  <si>
    <t>MICROALBUMIN CREATININE RATIO, RANDOM (UR)</t>
  </si>
  <si>
    <t>{Microalbumin (UR)} / {Creatinine (UR)} X 100</t>
  </si>
  <si>
    <t>CREATININE (UR)</t>
  </si>
  <si>
    <t>MICROALBUMIN, (UR)</t>
  </si>
  <si>
    <t>MICROALBUMIN CREATININE RATIO, RANDOM (UR) Calculated</t>
  </si>
  <si>
    <t>MICROALBUMIN EXCRETION RATE</t>
  </si>
  <si>
    <t>TIMED (UR)</t>
  </si>
  <si>
    <t>VOLUME (UR)</t>
  </si>
  <si>
    <t>MICROALBUMIN TIMED (UR) Calculated</t>
  </si>
  <si>
    <t>MICROALBUMIN EXCRETION RATE Calculated</t>
  </si>
  <si>
    <t>{Microalbumin Timed (UR)}  X ({Volume (UR)} / 1440)</t>
  </si>
  <si>
    <t>Total Iron Binding Capacity and Iron Saturation Equation</t>
  </si>
  <si>
    <t>Iron</t>
  </si>
  <si>
    <t>Transferrin</t>
  </si>
  <si>
    <t>Total Iron Binding Capacity Calculated</t>
  </si>
  <si>
    <t>{Transferrin} X 1.25</t>
  </si>
  <si>
    <t>Iron Saturation Calculated</t>
  </si>
  <si>
    <t>{Iron}/({Transferrin}X1.25)X100</t>
  </si>
  <si>
    <t>* For TIBC only, leave the Iron as 0 (zero) or blank.</t>
  </si>
  <si>
    <t>Semen Motile Sperm Equation</t>
  </si>
  <si>
    <t>Sperm Count</t>
  </si>
  <si>
    <t>One-Hour Motility</t>
  </si>
  <si>
    <t xml:space="preserve">Motile Sperm (millions) per mL Calculated </t>
  </si>
  <si>
    <t>{Sperm Count} * {One-Hour Motility}</t>
  </si>
  <si>
    <t>Semen Motile Sperm Ejaculate Equation</t>
  </si>
  <si>
    <t>Motile Sperm (millions) per mL Calculated</t>
  </si>
  <si>
    <t>Sperm Volume</t>
  </si>
  <si>
    <t>Motile Sperm (millions) per ejaculate Calculated</t>
  </si>
  <si>
    <t>{Motile Sperm per mL}*{Sperm Volume}</t>
  </si>
  <si>
    <t>Semen Germ Cells Equation</t>
  </si>
  <si>
    <t>Semen Germ Cells (millions) per mL Calculated</t>
  </si>
  <si>
    <t>Absolute Cell Count Differential</t>
  </si>
  <si>
    <t>WBC Count (10^3/ul)</t>
  </si>
  <si>
    <t>% Neutrophils</t>
  </si>
  <si>
    <t>% Lymphocytes</t>
  </si>
  <si>
    <t>% Monocytes</t>
  </si>
  <si>
    <t>% Eosinophils</t>
  </si>
  <si>
    <t>% Basophils</t>
  </si>
  <si>
    <t>% Band</t>
  </si>
  <si>
    <t>Absolute Neutrophils (10^3/ul) Calculated</t>
  </si>
  <si>
    <t>{WBC Count}*{% Neutrophils}</t>
  </si>
  <si>
    <t>Absolute Lymphocytes (10^3/ul) Calculated</t>
  </si>
  <si>
    <t>{WBC Count}*{% Lymphocytes}</t>
  </si>
  <si>
    <t>Absolute Monocytes (10^3/ul) Calculated</t>
  </si>
  <si>
    <t>{WBC Count}*{% Monocytes}</t>
  </si>
  <si>
    <t>Absolute Eosinophils (10^3/ul) Calculated</t>
  </si>
  <si>
    <t>{WBC Count}*{% Eosinophils}</t>
  </si>
  <si>
    <t>Absolute Basophils (10^3/ul) Calculated</t>
  </si>
  <si>
    <t>{WBC Count}*{% Basophils}</t>
  </si>
  <si>
    <t>Absolute Band (10^3/ul) Calculated</t>
  </si>
  <si>
    <t>{WBC Count}*{% Band}</t>
  </si>
  <si>
    <t>Body Fluid Count Equation</t>
  </si>
  <si>
    <t>Total Nucleated Count (Auto)</t>
  </si>
  <si>
    <t>Total Nucleated/mcL (Auto) Calculated</t>
  </si>
  <si>
    <t xml:space="preserve">{Total Nucleated/mcL (Auto}*1000 </t>
  </si>
  <si>
    <t>RBC Count (Auto)</t>
  </si>
  <si>
    <t>{RBC Count (Auto)}*100000</t>
  </si>
  <si>
    <t>CSF COUNT EQUATION</t>
  </si>
  <si>
    <t>CSF1 - Nucleated Cell Calculated</t>
  </si>
  <si>
    <t>CSF1 - RBC Calculated</t>
  </si>
  <si>
    <t>CSF1 - Nucleated Cell Count 1</t>
  </si>
  <si>
    <t>CSF1 - Nucleated Cell Count 2</t>
  </si>
  <si>
    <t>CSF - Nucleated Cell Dilution</t>
  </si>
  <si>
    <t>Average # Squares Counted, Nucleated Cells</t>
  </si>
  <si>
    <t>Size of Square (LG = 0. 1) or (SM = 0.004), Nucleated Cells</t>
  </si>
  <si>
    <t>((({NUCLEATED COUNT 1, MANUAL, FLUID}+{NUCLEATED COUNT 2, MANUAL, FLUID})/{NUCLEATED COUNT 2, MANUAL, FLUID})*{NUCLEATED DILUTION, FLUID})/({AVERAGE # OF SQUARES COUNTED FLUID, NUCLEATED]}*{SIZED OF SQUARES COUNTED, NUCLEATED })</t>
  </si>
  <si>
    <t>CSF1 - RBC Count 1</t>
  </si>
  <si>
    <t>CSF1 - RBC Count 2</t>
  </si>
  <si>
    <t>CSF1 - RBC Dilution</t>
  </si>
  <si>
    <t>Average # Squares Counted, RBC</t>
  </si>
  <si>
    <t>Size of Square (LG = .01) or (SM = 0.004) RBC</t>
  </si>
  <si>
    <t>((({RBC COUNT 1, MANUAL, FLUID}+{RBC COUNT 2, MANUAL, FLUID})/2)/({AVERAGE# OF SQUARES COUNTED FLUID, RBC}*{SIZE OF SQUARES COUNTED FLUID, RBC})</t>
  </si>
  <si>
    <t>Immature forms (IMFORM)</t>
  </si>
  <si>
    <t>{Sperm Count}*{Immature Forms)</t>
  </si>
  <si>
    <t>({Chloride (UR)} X {Volume (UR)} X 24) / ({Time (UR)} * 1000)</t>
  </si>
  <si>
    <t>Corrected Creatinine Clearance</t>
  </si>
  <si>
    <t>Patient Height (cm)</t>
  </si>
  <si>
    <t>Patient Weight (kg)</t>
  </si>
  <si>
    <t>Corrected Creatinine Clearance Calculated</t>
  </si>
  <si>
    <t>{CREATININE, (UR)}/{CREATININE (SERUM)}*{VOLUME (UR)}/({TIMED (UR)}*60)*1.73/(({PATIENT HEIGHT}*{PATIENT WEIGHT [1810947]}/3600)^0.5)</t>
  </si>
  <si>
    <t>% Metamyelocytes</t>
  </si>
  <si>
    <t>% Myelocytes</t>
  </si>
  <si>
    <t>% Promyelocytes</t>
  </si>
  <si>
    <t>% Blasts</t>
  </si>
  <si>
    <t>% Unclassified Cells</t>
  </si>
  <si>
    <t>{WBC Count}*{% Metamyelocytes}</t>
  </si>
  <si>
    <t>{WBC Count}*{% Myelocytes}</t>
  </si>
  <si>
    <t>{WBC Count}*{%  Promyelocytes}</t>
  </si>
  <si>
    <t>{WBC Count}*{% Blasts}</t>
  </si>
  <si>
    <t>{WBC Count}*{% Unclassified}</t>
  </si>
  <si>
    <t xml:space="preserve">Instructions: </t>
  </si>
  <si>
    <t>Enter the total volume (TV) and hours of collection (time) for this patient.  Inputting this information will affect all calculations on the list.</t>
  </si>
  <si>
    <t>Enter the urine analyte value from the instrument printout in the space provided below. The timed urine calculation will display in the highlighted field.</t>
  </si>
  <si>
    <t>RBC/mcL (Auto) Calculated</t>
  </si>
  <si>
    <t>mmol/L</t>
  </si>
  <si>
    <t>RBC/mcL</t>
  </si>
  <si>
    <t>Cells/mcL</t>
  </si>
  <si>
    <t>mL/min</t>
  </si>
  <si>
    <t>mL/min/1.73m2</t>
  </si>
  <si>
    <t>(ratio)</t>
  </si>
  <si>
    <t>mg/dL</t>
  </si>
  <si>
    <t>mg/g Creatinine</t>
  </si>
  <si>
    <t>mcg/min</t>
  </si>
  <si>
    <t>mOsm/kg H20</t>
  </si>
  <si>
    <t>millions/mL</t>
  </si>
  <si>
    <t>millions/ejaculate</t>
  </si>
  <si>
    <t>mcg/dL</t>
  </si>
  <si>
    <t>%</t>
  </si>
  <si>
    <t>U/hr</t>
  </si>
  <si>
    <t>mg/24hr</t>
  </si>
  <si>
    <t>mmol/L/24hr</t>
  </si>
  <si>
    <t>g/24hr</t>
  </si>
  <si>
    <t>mmol/24hr</t>
  </si>
  <si>
    <t>Absolute Metamyelocytes (10^3/ul) Calculated</t>
  </si>
  <si>
    <t>Absolute Myelocytes (10^3/ul) Calculated</t>
  </si>
  <si>
    <t>Absolute Promyelocytes (10^3/ul) Calculated</t>
  </si>
  <si>
    <t>Absolute Blasts (10^3/ul) Calculated</t>
  </si>
  <si>
    <t>Absolute Unclassified Cells (10^3/ul) Calculated</t>
  </si>
  <si>
    <t>(10^3/ul)</t>
  </si>
  <si>
    <t>{Urea Nitrogen(UR)} X {Volume(UR)} X 24/({Time (UR)} * 100000)</t>
  </si>
  <si>
    <t>Average Mean Glucose Equation</t>
  </si>
  <si>
    <t>HbA1c</t>
  </si>
  <si>
    <t>Average Glucose (eAG) Calculated</t>
  </si>
  <si>
    <t>28.7*{HbA1c} - 46.7</t>
  </si>
  <si>
    <t>({Uric Acid (UR)} X {Volume(UR)} X 24)/({Time (UR)}*100)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</si>
</sst>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b/>
      <sz val="16"/>
      <color theme="1"/>
      <name val="Calibri"/>
      <family val="2"/>
      <scheme val="minor"/>
    </font>
    <font>
      <b/>
      <sz val="16"/>
      <color theme="1"/>
      <name val="Calibri"/>
      <family val="2"/>
    </font>
    <font>
      <u/>
      <sz val="11"/>
      <color theme="10"/>
      <name val="Calibri"/>
      <family val="2"/>
      <scheme val="minor"/>
    </font>
    <font>
      <b/>
      <sz val="14"/>
      <color theme="1"/>
      <name val="Calibri"/>
      <charset val="1"/>
    </font>
    <font>
      <sz val="11"/>
      <color theme="1"/>
      <name val="Calibri"/>
      <charset val="1"/>
    </font>
    <font>
      <b/>
      <sz val="11"/>
      <color theme="1"/>
      <name val="Calibri"/>
      <family val="2"/>
    </font>
    <font>
      <b/>
      <sz val="14"/>
      <color theme="1"/>
      <name val="Calibri"/>
      <family val="2"/>
      <scheme val="minor"/>
    </font>
    <font>
      <b/>
      <sz val="14"/>
      <color theme="1"/>
      <name val="Calibri"/>
      <family val="2"/>
    </font>
    <font>
      <sz val="11"/>
      <color theme="1"/>
      <name val="Calibri"/>
      <family val="2"/>
      <scheme val="minor"/>
    </font>
    <font>
      <sz val="14"/>
      <color theme="1"/>
      <name val="Calibri"/>
      <family val="2"/>
      <scheme val="minor"/>
    </font>
    <font>
      <b/>
      <sz val="11"/>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rgb="FF000000"/>
      </bottom>
      <diagonal/>
    </border>
  </borders>
  <cellStyleXfs count="3">
    <xf numFmtId="0" fontId="0" fillId="0" borderId="0"/>
    <xf numFmtId="0" fontId="4" fillId="0" borderId="0" applyNumberFormat="0" applyFill="0" applyBorder="0" applyAlignment="0" applyProtection="0"/>
    <xf numFmtId="9" fontId="10" fillId="0" borderId="0" applyFont="0" applyFill="0" applyBorder="0" applyAlignment="0" applyProtection="0"/>
  </cellStyleXfs>
  <cellXfs count="43">
    <xf numFmtId="0" fontId="0" fillId="0" borderId="0" xfId="0"/>
    <xf numFmtId="0" fontId="0" fillId="0" borderId="0" xfId="0" applyProtection="1">
      <protection locked="0"/>
    </xf>
    <xf numFmtId="164" fontId="0" fillId="0" borderId="0" xfId="0" applyNumberFormat="1" applyProtection="1">
      <protection locked="0"/>
    </xf>
    <xf numFmtId="0" fontId="0" fillId="2" borderId="0" xfId="0" applyFill="1"/>
    <xf numFmtId="0" fontId="2" fillId="0" borderId="0" xfId="0" applyFont="1"/>
    <xf numFmtId="0" fontId="2" fillId="0" borderId="0" xfId="0" applyFont="1" applyAlignment="1">
      <alignment horizontal="center"/>
    </xf>
    <xf numFmtId="1" fontId="0" fillId="2" borderId="0" xfId="0" applyNumberFormat="1" applyFill="1"/>
    <xf numFmtId="164" fontId="0" fillId="2" borderId="0" xfId="0" applyNumberFormat="1" applyFill="1"/>
    <xf numFmtId="0" fontId="0" fillId="0" borderId="0" xfId="0" applyAlignment="1" applyProtection="1">
      <alignment wrapText="1"/>
      <protection locked="0"/>
    </xf>
    <xf numFmtId="0" fontId="1" fillId="0" borderId="0" xfId="0" applyFont="1" applyAlignment="1">
      <alignment wrapText="1"/>
    </xf>
    <xf numFmtId="0" fontId="0" fillId="0" borderId="0" xfId="0" applyAlignment="1">
      <alignment horizontal="left" wrapText="1"/>
    </xf>
    <xf numFmtId="0" fontId="0" fillId="0" borderId="0" xfId="0" applyAlignment="1">
      <alignment wrapText="1"/>
    </xf>
    <xf numFmtId="0" fontId="0" fillId="2" borderId="0" xfId="0" applyFill="1" applyAlignment="1">
      <alignment wrapText="1"/>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vertical="top" wrapText="1"/>
      <protection locked="0"/>
    </xf>
    <xf numFmtId="0" fontId="4" fillId="0" borderId="0" xfId="1" applyAlignment="1" applyProtection="1">
      <alignment wrapText="1"/>
      <protection locked="0"/>
    </xf>
    <xf numFmtId="2" fontId="0" fillId="2" borderId="0" xfId="0" applyNumberFormat="1" applyFill="1"/>
    <xf numFmtId="0" fontId="5" fillId="0" borderId="0" xfId="0" applyFont="1" applyAlignment="1" applyProtection="1">
      <alignment wrapText="1"/>
      <protection locked="0"/>
    </xf>
    <xf numFmtId="0" fontId="5" fillId="0" borderId="0" xfId="0" applyFont="1" applyAlignment="1">
      <alignment wrapText="1"/>
    </xf>
    <xf numFmtId="1" fontId="0" fillId="2" borderId="1" xfId="0" applyNumberFormat="1" applyFill="1" applyBorder="1"/>
    <xf numFmtId="0" fontId="0" fillId="2" borderId="1" xfId="0" applyFill="1" applyBorder="1"/>
    <xf numFmtId="0" fontId="6" fillId="0" borderId="0" xfId="0" applyFont="1" applyAlignment="1">
      <alignment wrapText="1"/>
    </xf>
    <xf numFmtId="1" fontId="0" fillId="0" borderId="0" xfId="0" applyNumberFormat="1" applyProtection="1">
      <protection locked="0"/>
    </xf>
    <xf numFmtId="0" fontId="8" fillId="0" borderId="0" xfId="0" applyFont="1"/>
    <xf numFmtId="0" fontId="7" fillId="0" borderId="0" xfId="0" applyFont="1" applyAlignment="1" applyProtection="1">
      <alignment wrapText="1"/>
      <protection locked="0"/>
    </xf>
    <xf numFmtId="0" fontId="9" fillId="0" borderId="0" xfId="0" applyFont="1" applyAlignment="1">
      <alignment wrapText="1"/>
    </xf>
    <xf numFmtId="0" fontId="8" fillId="0" borderId="0" xfId="0" applyFont="1" applyProtection="1">
      <protection locked="0"/>
    </xf>
    <xf numFmtId="9" fontId="0" fillId="0" borderId="0" xfId="2" applyFont="1" applyProtection="1">
      <protection locked="0"/>
    </xf>
    <xf numFmtId="0" fontId="0" fillId="0" borderId="0" xfId="0" applyProtection="1"/>
    <xf numFmtId="0" fontId="0" fillId="2" borderId="0" xfId="0" applyFill="1" applyProtection="1"/>
    <xf numFmtId="1" fontId="0" fillId="2" borderId="0" xfId="0" applyNumberFormat="1" applyFill="1" applyProtection="1"/>
    <xf numFmtId="0" fontId="11" fillId="0" borderId="0" xfId="0" applyFont="1" applyProtection="1">
      <protection locked="0"/>
    </xf>
    <xf numFmtId="0" fontId="2" fillId="0" borderId="0" xfId="0" applyFont="1" applyProtection="1"/>
    <xf numFmtId="0" fontId="3" fillId="0" borderId="0" xfId="0" applyFont="1" applyAlignment="1" applyProtection="1">
      <alignment vertical="top" wrapText="1"/>
    </xf>
    <xf numFmtId="0" fontId="8" fillId="0" borderId="0" xfId="0" applyFont="1" applyProtection="1"/>
    <xf numFmtId="0" fontId="12" fillId="0" borderId="0" xfId="0" applyFont="1" applyAlignment="1" applyProtection="1">
      <alignment vertical="center"/>
    </xf>
    <xf numFmtId="0" fontId="13" fillId="0" borderId="0" xfId="0" applyFont="1" applyAlignment="1" applyProtection="1">
      <alignment vertical="center"/>
    </xf>
    <xf numFmtId="2" fontId="0" fillId="2" borderId="0" xfId="0" applyNumberFormat="1" applyFill="1" applyProtection="1"/>
    <xf numFmtId="0" fontId="8" fillId="0" borderId="0" xfId="0" applyFont="1" applyAlignment="1">
      <alignment horizontal="center"/>
    </xf>
    <xf numFmtId="0" fontId="8" fillId="0" borderId="0" xfId="0" applyFont="1" applyAlignment="1" applyProtection="1">
      <alignment horizontal="center"/>
    </xf>
    <xf numFmtId="0" fontId="1" fillId="0" borderId="0" xfId="0" applyFont="1" applyAlignment="1" applyProtection="1">
      <alignment horizontal="center" wrapText="1"/>
    </xf>
    <xf numFmtId="0" fontId="2" fillId="0" borderId="0" xfId="0" applyFont="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crippshealth.sharepoint.com/:f:/r/sites/Beaker/CP%20Documents/09%20CAP%20Inspection/05%20Calculation%20Monitor%20(Beaker%20Equation%20Validation)/CAP%20calculation%20validation/2020%20Calculation%20Validation/Chemistry%202020?csf=1&amp;web=1&amp;e=3CzgDd"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2"/>
  <sheetViews>
    <sheetView workbookViewId="0">
      <selection activeCell="A10" sqref="A10"/>
    </sheetView>
  </sheetViews>
  <sheetFormatPr defaultColWidth="9.140625" defaultRowHeight="15" x14ac:dyDescent="0.25"/>
  <cols>
    <col min="1" max="1" width="107" style="8" bestFit="1" customWidth="1"/>
    <col min="2" max="16384" width="9.140625" style="1"/>
  </cols>
  <sheetData>
    <row r="1" spans="1:1" x14ac:dyDescent="0.25">
      <c r="A1" s="9" t="s">
        <v>0</v>
      </c>
    </row>
    <row r="2" spans="1:1" ht="75" x14ac:dyDescent="0.25">
      <c r="A2" s="10" t="s">
        <v>1</v>
      </c>
    </row>
    <row r="3" spans="1:1" ht="30" x14ac:dyDescent="0.25">
      <c r="A3" s="11" t="s">
        <v>2</v>
      </c>
    </row>
    <row r="4" spans="1:1" x14ac:dyDescent="0.25">
      <c r="A4" s="11" t="s">
        <v>3</v>
      </c>
    </row>
    <row r="5" spans="1:1" ht="45" x14ac:dyDescent="0.25">
      <c r="A5" s="12" t="s">
        <v>4</v>
      </c>
    </row>
    <row r="6" spans="1:1" x14ac:dyDescent="0.25">
      <c r="A6" s="11"/>
    </row>
    <row r="7" spans="1:1" x14ac:dyDescent="0.25">
      <c r="A7" s="11"/>
    </row>
    <row r="8" spans="1:1" x14ac:dyDescent="0.25">
      <c r="A8" s="11"/>
    </row>
    <row r="9" spans="1:1" ht="45" x14ac:dyDescent="0.25">
      <c r="A9" s="11" t="s">
        <v>5</v>
      </c>
    </row>
    <row r="10" spans="1:1" ht="45" x14ac:dyDescent="0.25">
      <c r="A10" s="16" t="s">
        <v>6</v>
      </c>
    </row>
    <row r="11" spans="1:1" x14ac:dyDescent="0.25">
      <c r="A11" s="11"/>
    </row>
    <row r="12" spans="1:1" x14ac:dyDescent="0.25">
      <c r="A12" s="11" t="s">
        <v>7</v>
      </c>
    </row>
  </sheetData>
  <sheetProtection sheet="1" objects="1" scenarios="1" selectLockedCells="1"/>
  <hyperlinks>
    <hyperlink ref="A10" r:id="rId1"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
  <sheetViews>
    <sheetView workbookViewId="0">
      <selection activeCell="B4" sqref="B4"/>
    </sheetView>
  </sheetViews>
  <sheetFormatPr defaultColWidth="9.140625" defaultRowHeight="15" x14ac:dyDescent="0.25"/>
  <cols>
    <col min="1" max="1" width="57.140625" style="1" customWidth="1"/>
    <col min="2" max="3" width="9.140625" style="1"/>
    <col min="4" max="4" width="57" style="1" customWidth="1"/>
    <col min="5" max="16384" width="9.140625" style="1"/>
  </cols>
  <sheetData>
    <row r="1" spans="1:4" ht="37.5" x14ac:dyDescent="0.3">
      <c r="A1" s="19" t="s">
        <v>110</v>
      </c>
      <c r="D1" s="19" t="s">
        <v>111</v>
      </c>
    </row>
    <row r="2" spans="1:4" ht="18.75" x14ac:dyDescent="0.3">
      <c r="A2" s="22" t="s">
        <v>9</v>
      </c>
      <c r="D2" s="18"/>
    </row>
    <row r="3" spans="1:4" x14ac:dyDescent="0.25">
      <c r="A3" t="s">
        <v>112</v>
      </c>
    </row>
    <row r="4" spans="1:4" x14ac:dyDescent="0.25">
      <c r="A4" t="s">
        <v>113</v>
      </c>
    </row>
    <row r="5" spans="1:4" x14ac:dyDescent="0.25">
      <c r="A5" s="3" t="s">
        <v>114</v>
      </c>
      <c r="B5" s="7" t="e">
        <f>B4/B3*100</f>
        <v>#DIV/0!</v>
      </c>
      <c r="C5" s="29" t="s">
        <v>211</v>
      </c>
    </row>
  </sheetData>
  <sheetProtection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1"/>
  <sheetViews>
    <sheetView workbookViewId="0">
      <selection activeCell="B5" sqref="B5"/>
    </sheetView>
  </sheetViews>
  <sheetFormatPr defaultColWidth="9.140625" defaultRowHeight="15" x14ac:dyDescent="0.25"/>
  <cols>
    <col min="1" max="1" width="44.28515625" style="1" customWidth="1"/>
    <col min="2" max="2" width="12.140625" style="1" customWidth="1"/>
    <col min="3" max="3" width="9.140625" style="1"/>
    <col min="4" max="4" width="75.42578125" style="1" customWidth="1"/>
    <col min="5" max="16384" width="9.140625" style="1"/>
  </cols>
  <sheetData>
    <row r="1" spans="1:4" ht="18.75" x14ac:dyDescent="0.3">
      <c r="A1" s="19" t="s">
        <v>115</v>
      </c>
      <c r="D1" s="18"/>
    </row>
    <row r="2" spans="1:4" x14ac:dyDescent="0.25">
      <c r="A2" t="s">
        <v>9</v>
      </c>
    </row>
    <row r="3" spans="1:4" x14ac:dyDescent="0.25">
      <c r="A3" t="s">
        <v>116</v>
      </c>
    </row>
    <row r="4" spans="1:4" x14ac:dyDescent="0.25">
      <c r="A4" t="s">
        <v>117</v>
      </c>
    </row>
    <row r="5" spans="1:4" x14ac:dyDescent="0.25">
      <c r="A5" t="s">
        <v>113</v>
      </c>
    </row>
    <row r="6" spans="1:4" ht="17.25" customHeight="1" x14ac:dyDescent="0.3">
      <c r="A6" s="21" t="s">
        <v>118</v>
      </c>
      <c r="B6" s="20" t="e">
        <f>ROUND((B5*B4*24)/(B3*1000),0)</f>
        <v>#DIV/0!</v>
      </c>
      <c r="D6" s="19" t="s">
        <v>80</v>
      </c>
    </row>
    <row r="7" spans="1:4" ht="18.75" x14ac:dyDescent="0.3">
      <c r="A7" s="3" t="s">
        <v>119</v>
      </c>
      <c r="B7" s="6" t="e">
        <f>B6*(B4/1440)</f>
        <v>#DIV/0!</v>
      </c>
      <c r="C7" s="29" t="s">
        <v>212</v>
      </c>
      <c r="D7" s="19" t="s">
        <v>120</v>
      </c>
    </row>
    <row r="11" spans="1:4" ht="18.75" x14ac:dyDescent="0.3">
      <c r="D11" s="18"/>
    </row>
  </sheetData>
  <sheetProtection sheet="1" objects="1" scenarios="1" selectLockedCell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D6"/>
  <sheetViews>
    <sheetView zoomScaleNormal="100" workbookViewId="0">
      <selection activeCell="B7" sqref="B7"/>
    </sheetView>
  </sheetViews>
  <sheetFormatPr defaultColWidth="9.140625" defaultRowHeight="15" x14ac:dyDescent="0.25"/>
  <cols>
    <col min="1" max="1" width="27.140625" style="1" bestFit="1" customWidth="1"/>
    <col min="2" max="3" width="9.140625" style="1"/>
    <col min="4" max="4" width="56.85546875" style="1" bestFit="1" customWidth="1"/>
    <col min="5" max="16384" width="9.140625" style="1"/>
  </cols>
  <sheetData>
    <row r="1" spans="1:4" ht="21" x14ac:dyDescent="0.35">
      <c r="A1" s="4" t="s">
        <v>34</v>
      </c>
      <c r="D1" s="4" t="s">
        <v>35</v>
      </c>
    </row>
    <row r="2" spans="1:4" ht="21" x14ac:dyDescent="0.35">
      <c r="A2" t="s">
        <v>9</v>
      </c>
      <c r="D2" s="4"/>
    </row>
    <row r="3" spans="1:4" x14ac:dyDescent="0.25">
      <c r="A3" t="s">
        <v>36</v>
      </c>
    </row>
    <row r="4" spans="1:4" x14ac:dyDescent="0.25">
      <c r="A4" t="s">
        <v>37</v>
      </c>
    </row>
    <row r="5" spans="1:4" x14ac:dyDescent="0.25">
      <c r="A5" t="s">
        <v>38</v>
      </c>
    </row>
    <row r="6" spans="1:4" x14ac:dyDescent="0.25">
      <c r="A6" s="3" t="s">
        <v>39</v>
      </c>
      <c r="B6" s="6">
        <f>2*B3+(B4/2.8)+(B5/18)</f>
        <v>0</v>
      </c>
      <c r="C6" s="29" t="s">
        <v>213</v>
      </c>
    </row>
  </sheetData>
  <sheetProtection sheet="1" select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D5"/>
  <sheetViews>
    <sheetView zoomScaleNormal="100" workbookViewId="0">
      <selection activeCell="B4" sqref="B4"/>
    </sheetView>
  </sheetViews>
  <sheetFormatPr defaultColWidth="9.140625" defaultRowHeight="15" x14ac:dyDescent="0.25"/>
  <cols>
    <col min="1" max="1" width="49.5703125" style="1" customWidth="1"/>
    <col min="2" max="2" width="10.5703125" style="1" bestFit="1" customWidth="1"/>
    <col min="3" max="3" width="9.140625" style="1"/>
    <col min="4" max="4" width="55.5703125" style="1" bestFit="1" customWidth="1"/>
    <col min="5" max="16384" width="9.140625" style="1"/>
  </cols>
  <sheetData>
    <row r="1" spans="1:4" ht="21" x14ac:dyDescent="0.35">
      <c r="A1" s="4" t="s">
        <v>47</v>
      </c>
      <c r="D1" s="4" t="s">
        <v>48</v>
      </c>
    </row>
    <row r="2" spans="1:4" x14ac:dyDescent="0.25">
      <c r="A2" t="s">
        <v>9</v>
      </c>
      <c r="D2"/>
    </row>
    <row r="3" spans="1:4" x14ac:dyDescent="0.25">
      <c r="A3" t="s">
        <v>50</v>
      </c>
    </row>
    <row r="4" spans="1:4" x14ac:dyDescent="0.25">
      <c r="A4" t="s">
        <v>49</v>
      </c>
    </row>
    <row r="5" spans="1:4" x14ac:dyDescent="0.25">
      <c r="A5" s="3" t="s">
        <v>103</v>
      </c>
      <c r="B5" s="6" t="e">
        <f>(B3/B4)*1000</f>
        <v>#DIV/0!</v>
      </c>
      <c r="C5" s="29" t="s">
        <v>211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7"/>
  <sheetViews>
    <sheetView workbookViewId="0">
      <selection activeCell="B16" sqref="B16"/>
    </sheetView>
  </sheetViews>
  <sheetFormatPr defaultRowHeight="15" x14ac:dyDescent="0.25"/>
  <cols>
    <col min="1" max="1" width="44.85546875" style="1" bestFit="1" customWidth="1"/>
    <col min="2" max="2" width="9.140625" style="1"/>
    <col min="3" max="3" width="17.42578125" style="1" bestFit="1" customWidth="1"/>
    <col min="4" max="16384" width="9.140625" style="1"/>
  </cols>
  <sheetData>
    <row r="1" spans="1:4" ht="18.75" x14ac:dyDescent="0.3">
      <c r="A1" s="39" t="s">
        <v>129</v>
      </c>
      <c r="B1" s="39"/>
      <c r="C1" s="39"/>
      <c r="D1" s="39"/>
    </row>
    <row r="2" spans="1:4" x14ac:dyDescent="0.25">
      <c r="A2" t="s">
        <v>9</v>
      </c>
    </row>
    <row r="3" spans="1:4" x14ac:dyDescent="0.25">
      <c r="A3" t="s">
        <v>130</v>
      </c>
    </row>
    <row r="4" spans="1:4" x14ac:dyDescent="0.25">
      <c r="A4" t="s">
        <v>131</v>
      </c>
      <c r="B4" s="28"/>
    </row>
    <row r="5" spans="1:4" ht="18.75" x14ac:dyDescent="0.3">
      <c r="A5" s="3" t="s">
        <v>132</v>
      </c>
      <c r="B5" s="3">
        <f>B3*B4</f>
        <v>0</v>
      </c>
      <c r="C5" s="29" t="s">
        <v>214</v>
      </c>
      <c r="D5" s="24" t="s">
        <v>133</v>
      </c>
    </row>
    <row r="7" spans="1:4" ht="18.75" x14ac:dyDescent="0.3">
      <c r="A7" s="39" t="s">
        <v>134</v>
      </c>
      <c r="B7" s="39"/>
      <c r="C7" s="39"/>
      <c r="D7" s="39"/>
    </row>
    <row r="8" spans="1:4" x14ac:dyDescent="0.25">
      <c r="A8" t="s">
        <v>9</v>
      </c>
    </row>
    <row r="9" spans="1:4" x14ac:dyDescent="0.25">
      <c r="A9" s="3" t="s">
        <v>135</v>
      </c>
      <c r="B9" s="3">
        <f>B5</f>
        <v>0</v>
      </c>
    </row>
    <row r="10" spans="1:4" x14ac:dyDescent="0.25">
      <c r="A10" s="1" t="s">
        <v>136</v>
      </c>
    </row>
    <row r="11" spans="1:4" ht="18.75" x14ac:dyDescent="0.3">
      <c r="A11" s="3" t="s">
        <v>137</v>
      </c>
      <c r="B11" s="3">
        <f>B9*B10</f>
        <v>0</v>
      </c>
      <c r="C11" s="29" t="s">
        <v>215</v>
      </c>
      <c r="D11" s="24" t="s">
        <v>138</v>
      </c>
    </row>
    <row r="13" spans="1:4" ht="18.75" x14ac:dyDescent="0.3">
      <c r="A13" s="39" t="s">
        <v>139</v>
      </c>
      <c r="B13" s="39"/>
      <c r="C13" s="39"/>
      <c r="D13" s="39"/>
    </row>
    <row r="14" spans="1:4" x14ac:dyDescent="0.25">
      <c r="A14" t="s">
        <v>9</v>
      </c>
    </row>
    <row r="15" spans="1:4" x14ac:dyDescent="0.25">
      <c r="A15" s="3" t="s">
        <v>130</v>
      </c>
      <c r="B15" s="3">
        <f>'SEMEN ANALYSIS'!B3</f>
        <v>0</v>
      </c>
    </row>
    <row r="16" spans="1:4" x14ac:dyDescent="0.25">
      <c r="A16" s="1" t="s">
        <v>182</v>
      </c>
    </row>
    <row r="17" spans="1:4" ht="18.75" x14ac:dyDescent="0.3">
      <c r="A17" s="3" t="s">
        <v>140</v>
      </c>
      <c r="B17" s="3">
        <f>B16*B15</f>
        <v>0</v>
      </c>
      <c r="C17" s="29" t="s">
        <v>214</v>
      </c>
      <c r="D17" s="24" t="s">
        <v>183</v>
      </c>
    </row>
  </sheetData>
  <sheetProtection sheet="1" objects="1" scenarios="1" selectLockedCells="1"/>
  <mergeCells count="3">
    <mergeCell ref="A1:D1"/>
    <mergeCell ref="A7:D7"/>
    <mergeCell ref="A13:D1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8"/>
  <sheetViews>
    <sheetView workbookViewId="0">
      <selection activeCell="B4" sqref="B4"/>
    </sheetView>
  </sheetViews>
  <sheetFormatPr defaultColWidth="9.140625" defaultRowHeight="15" x14ac:dyDescent="0.25"/>
  <cols>
    <col min="1" max="1" width="36.140625" style="1" customWidth="1"/>
    <col min="2" max="2" width="11.140625" style="1" customWidth="1"/>
    <col min="3" max="3" width="9.140625" style="1"/>
    <col min="4" max="4" width="28.7109375" style="1" customWidth="1"/>
    <col min="5" max="16384" width="9.140625" style="1"/>
  </cols>
  <sheetData>
    <row r="1" spans="1:4" ht="18.75" x14ac:dyDescent="0.3">
      <c r="A1" s="39" t="s">
        <v>121</v>
      </c>
      <c r="B1" s="39"/>
      <c r="C1" s="39"/>
      <c r="D1" s="39"/>
    </row>
    <row r="2" spans="1:4" x14ac:dyDescent="0.25">
      <c r="A2" t="s">
        <v>9</v>
      </c>
      <c r="D2" s="25"/>
    </row>
    <row r="3" spans="1:4" x14ac:dyDescent="0.25">
      <c r="A3" t="s">
        <v>122</v>
      </c>
    </row>
    <row r="4" spans="1:4" x14ac:dyDescent="0.25">
      <c r="A4" t="s">
        <v>123</v>
      </c>
    </row>
    <row r="5" spans="1:4" ht="18.75" x14ac:dyDescent="0.3">
      <c r="A5" s="3" t="s">
        <v>124</v>
      </c>
      <c r="B5" s="6">
        <f>B4*1.25</f>
        <v>0</v>
      </c>
      <c r="C5" s="29" t="s">
        <v>216</v>
      </c>
      <c r="D5" s="26" t="s">
        <v>125</v>
      </c>
    </row>
    <row r="6" spans="1:4" ht="18.75" x14ac:dyDescent="0.3">
      <c r="A6" s="3" t="s">
        <v>126</v>
      </c>
      <c r="B6" s="6" t="e">
        <f>B3/(B4*1.25)*100</f>
        <v>#DIV/0!</v>
      </c>
      <c r="C6" s="29" t="s">
        <v>217</v>
      </c>
      <c r="D6" s="24" t="s">
        <v>127</v>
      </c>
    </row>
    <row r="8" spans="1:4" x14ac:dyDescent="0.25">
      <c r="A8" t="s">
        <v>128</v>
      </c>
    </row>
  </sheetData>
  <sheetProtection sheet="1" objects="1" scenarios="1" selectLockedCells="1"/>
  <mergeCells count="1">
    <mergeCell ref="A1:D1"/>
  </mergeCells>
  <pageMargins left="0.7" right="0.7" top="0.75" bottom="0.75" header="0.3" footer="0.3"/>
  <pageSetup orientation="portrait" horizontalDpi="200" verticalDpi="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76"/>
  <sheetViews>
    <sheetView view="pageBreakPreview" zoomScale="60" zoomScaleNormal="100" workbookViewId="0">
      <pane ySplit="5" topLeftCell="A54" activePane="bottomLeft" state="frozen"/>
      <selection pane="bottomLeft" activeCell="B75" sqref="B75"/>
    </sheetView>
  </sheetViews>
  <sheetFormatPr defaultColWidth="9.140625" defaultRowHeight="18.75" x14ac:dyDescent="0.3"/>
  <cols>
    <col min="1" max="1" width="46.42578125" style="1" customWidth="1"/>
    <col min="2" max="2" width="9.5703125" style="1" bestFit="1" customWidth="1"/>
    <col min="3" max="3" width="9.140625" style="1"/>
    <col min="4" max="4" width="86.28515625" style="32" bestFit="1" customWidth="1"/>
    <col min="5" max="5" width="9.140625" style="1"/>
    <col min="6" max="6" width="52" style="1" bestFit="1" customWidth="1"/>
    <col min="7" max="7" width="9.5703125" style="1" bestFit="1" customWidth="1"/>
    <col min="8" max="8" width="55.5703125" style="1" bestFit="1" customWidth="1"/>
    <col min="9" max="16384" width="9.140625" style="1"/>
  </cols>
  <sheetData>
    <row r="1" spans="1:4" x14ac:dyDescent="0.3">
      <c r="A1" s="36" t="s">
        <v>200</v>
      </c>
    </row>
    <row r="2" spans="1:4" x14ac:dyDescent="0.3">
      <c r="A2" s="37" t="s">
        <v>201</v>
      </c>
    </row>
    <row r="3" spans="1:4" x14ac:dyDescent="0.3">
      <c r="A3" s="37" t="s">
        <v>202</v>
      </c>
    </row>
    <row r="4" spans="1:4" x14ac:dyDescent="0.3">
      <c r="A4" s="1" t="s">
        <v>51</v>
      </c>
    </row>
    <row r="5" spans="1:4" x14ac:dyDescent="0.3">
      <c r="A5" s="1" t="s">
        <v>52</v>
      </c>
    </row>
    <row r="7" spans="1:4" x14ac:dyDescent="0.3">
      <c r="A7" s="24" t="s">
        <v>91</v>
      </c>
      <c r="D7" s="24" t="s">
        <v>92</v>
      </c>
    </row>
    <row r="8" spans="1:4" x14ac:dyDescent="0.3">
      <c r="A8" t="s">
        <v>9</v>
      </c>
    </row>
    <row r="9" spans="1:4" x14ac:dyDescent="0.3">
      <c r="A9" t="s">
        <v>93</v>
      </c>
      <c r="B9" s="1">
        <v>32</v>
      </c>
    </row>
    <row r="10" spans="1:4" x14ac:dyDescent="0.3">
      <c r="A10" s="3" t="s">
        <v>94</v>
      </c>
      <c r="B10" s="6" t="e">
        <f>(B9*B4)/(B5*1000)</f>
        <v>#DIV/0!</v>
      </c>
      <c r="C10" s="29" t="s">
        <v>218</v>
      </c>
    </row>
    <row r="12" spans="1:4" x14ac:dyDescent="0.3">
      <c r="A12" s="24" t="s">
        <v>83</v>
      </c>
    </row>
    <row r="13" spans="1:4" x14ac:dyDescent="0.3">
      <c r="A13" t="s">
        <v>9</v>
      </c>
      <c r="D13" s="24" t="s">
        <v>84</v>
      </c>
    </row>
    <row r="14" spans="1:4" x14ac:dyDescent="0.3">
      <c r="A14" t="s">
        <v>85</v>
      </c>
      <c r="B14" s="1">
        <v>35</v>
      </c>
    </row>
    <row r="15" spans="1:4" x14ac:dyDescent="0.3">
      <c r="A15" s="3" t="s">
        <v>86</v>
      </c>
      <c r="B15" s="6" t="e">
        <f>(B14*B4*24)/(B5*100)</f>
        <v>#DIV/0!</v>
      </c>
      <c r="C15" s="29" t="s">
        <v>219</v>
      </c>
    </row>
    <row r="17" spans="1:9" x14ac:dyDescent="0.3">
      <c r="A17" s="24" t="s">
        <v>55</v>
      </c>
      <c r="D17" s="27" t="s">
        <v>184</v>
      </c>
    </row>
    <row r="18" spans="1:9" x14ac:dyDescent="0.3">
      <c r="A18" t="s">
        <v>9</v>
      </c>
    </row>
    <row r="19" spans="1:9" x14ac:dyDescent="0.3">
      <c r="A19" t="s">
        <v>58</v>
      </c>
      <c r="B19" s="1">
        <v>121</v>
      </c>
    </row>
    <row r="20" spans="1:9" x14ac:dyDescent="0.3">
      <c r="A20" s="3" t="s">
        <v>59</v>
      </c>
      <c r="B20" s="6" t="e">
        <f>(B19*B4*24)/(B5*1000)</f>
        <v>#DIV/0!</v>
      </c>
      <c r="C20" s="29" t="s">
        <v>220</v>
      </c>
    </row>
    <row r="22" spans="1:9" x14ac:dyDescent="0.3">
      <c r="A22" s="24" t="s">
        <v>45</v>
      </c>
      <c r="D22" s="24" t="s">
        <v>46</v>
      </c>
    </row>
    <row r="23" spans="1:9" x14ac:dyDescent="0.3">
      <c r="A23" t="s">
        <v>9</v>
      </c>
    </row>
    <row r="24" spans="1:9" x14ac:dyDescent="0.3">
      <c r="A24" t="s">
        <v>49</v>
      </c>
      <c r="B24" s="1">
        <v>2.9</v>
      </c>
    </row>
    <row r="25" spans="1:9" ht="21" x14ac:dyDescent="0.35">
      <c r="A25" s="3" t="s">
        <v>54</v>
      </c>
      <c r="B25" s="7" t="e">
        <f>(B24*B4*24)/(B5*100000)</f>
        <v>#DIV/0!</v>
      </c>
      <c r="C25" s="29" t="s">
        <v>221</v>
      </c>
      <c r="I25" s="13"/>
    </row>
    <row r="27" spans="1:9" x14ac:dyDescent="0.3">
      <c r="A27" s="24" t="s">
        <v>61</v>
      </c>
      <c r="D27" s="24" t="s">
        <v>62</v>
      </c>
    </row>
    <row r="28" spans="1:9" x14ac:dyDescent="0.3">
      <c r="A28" t="s">
        <v>9</v>
      </c>
    </row>
    <row r="29" spans="1:9" x14ac:dyDescent="0.3">
      <c r="A29" t="s">
        <v>64</v>
      </c>
      <c r="B29" s="1">
        <v>315</v>
      </c>
    </row>
    <row r="30" spans="1:9" ht="33" customHeight="1" x14ac:dyDescent="0.3">
      <c r="A30" s="3" t="s">
        <v>66</v>
      </c>
      <c r="B30" s="7" t="e">
        <f>(B29*B4*24)/(B5*100000)</f>
        <v>#DIV/0!</v>
      </c>
      <c r="C30" s="29" t="s">
        <v>210</v>
      </c>
    </row>
    <row r="32" spans="1:9" x14ac:dyDescent="0.3">
      <c r="A32" s="24" t="s">
        <v>87</v>
      </c>
      <c r="D32" s="24" t="s">
        <v>88</v>
      </c>
    </row>
    <row r="33" spans="1:9" x14ac:dyDescent="0.3">
      <c r="A33" t="s">
        <v>9</v>
      </c>
    </row>
    <row r="34" spans="1:9" x14ac:dyDescent="0.3">
      <c r="A34" t="s">
        <v>89</v>
      </c>
      <c r="B34" s="1">
        <v>40</v>
      </c>
    </row>
    <row r="35" spans="1:9" x14ac:dyDescent="0.3">
      <c r="A35" s="3" t="s">
        <v>90</v>
      </c>
      <c r="B35" s="6" t="e">
        <f>(B34*B4*24)/(B5*100)</f>
        <v>#DIV/0!</v>
      </c>
      <c r="C35" s="29" t="s">
        <v>219</v>
      </c>
    </row>
    <row r="36" spans="1:9" ht="21" x14ac:dyDescent="0.35">
      <c r="I36" s="13"/>
    </row>
    <row r="37" spans="1:9" x14ac:dyDescent="0.3">
      <c r="A37" s="26" t="s">
        <v>79</v>
      </c>
      <c r="D37" s="26" t="s">
        <v>80</v>
      </c>
    </row>
    <row r="38" spans="1:9" x14ac:dyDescent="0.3">
      <c r="A38" t="s">
        <v>9</v>
      </c>
    </row>
    <row r="39" spans="1:9" x14ac:dyDescent="0.3">
      <c r="A39" t="s">
        <v>81</v>
      </c>
      <c r="B39" s="23">
        <v>32</v>
      </c>
    </row>
    <row r="40" spans="1:9" x14ac:dyDescent="0.3">
      <c r="A40" s="3" t="s">
        <v>82</v>
      </c>
      <c r="B40" s="6" t="e">
        <f>B39*B4*24/(B5*1000)</f>
        <v>#DIV/0!</v>
      </c>
      <c r="C40" s="29" t="s">
        <v>219</v>
      </c>
    </row>
    <row r="42" spans="1:9" x14ac:dyDescent="0.3">
      <c r="A42" s="24" t="s">
        <v>95</v>
      </c>
      <c r="D42" s="24" t="s">
        <v>96</v>
      </c>
    </row>
    <row r="43" spans="1:9" x14ac:dyDescent="0.3">
      <c r="A43" t="s">
        <v>9</v>
      </c>
    </row>
    <row r="44" spans="1:9" x14ac:dyDescent="0.3">
      <c r="A44" t="s">
        <v>97</v>
      </c>
      <c r="B44" s="1">
        <v>60</v>
      </c>
    </row>
    <row r="45" spans="1:9" x14ac:dyDescent="0.3">
      <c r="A45" s="3" t="s">
        <v>98</v>
      </c>
      <c r="B45" s="6" t="e">
        <f>(B44*B4*24)/(B5*100000)</f>
        <v>#DIV/0!</v>
      </c>
      <c r="C45" s="29" t="s">
        <v>221</v>
      </c>
    </row>
    <row r="47" spans="1:9" x14ac:dyDescent="0.3">
      <c r="A47" s="24" t="s">
        <v>75</v>
      </c>
      <c r="D47" s="24" t="s">
        <v>76</v>
      </c>
    </row>
    <row r="48" spans="1:9" x14ac:dyDescent="0.3">
      <c r="A48" t="s">
        <v>9</v>
      </c>
    </row>
    <row r="49" spans="1:4" x14ac:dyDescent="0.3">
      <c r="A49" t="s">
        <v>77</v>
      </c>
      <c r="B49" s="1">
        <v>101</v>
      </c>
    </row>
    <row r="50" spans="1:4" x14ac:dyDescent="0.3">
      <c r="A50" s="3" t="s">
        <v>78</v>
      </c>
      <c r="B50" s="6" t="e">
        <f>(B49*B4*24)/(B5*1000)</f>
        <v>#DIV/0!</v>
      </c>
      <c r="C50" s="29" t="s">
        <v>222</v>
      </c>
    </row>
    <row r="52" spans="1:4" x14ac:dyDescent="0.3">
      <c r="A52" s="24" t="s">
        <v>47</v>
      </c>
      <c r="D52" s="24" t="s">
        <v>48</v>
      </c>
    </row>
    <row r="53" spans="1:4" x14ac:dyDescent="0.3">
      <c r="A53" t="s">
        <v>9</v>
      </c>
    </row>
    <row r="54" spans="1:4" x14ac:dyDescent="0.3">
      <c r="A54" t="s">
        <v>50</v>
      </c>
    </row>
    <row r="55" spans="1:4" x14ac:dyDescent="0.3">
      <c r="A55" t="s">
        <v>49</v>
      </c>
    </row>
    <row r="56" spans="1:4" x14ac:dyDescent="0.3">
      <c r="A56" s="3" t="s">
        <v>53</v>
      </c>
      <c r="B56" s="6" t="e">
        <f>(B54/B55)*1000</f>
        <v>#DIV/0!</v>
      </c>
      <c r="C56" s="29" t="s">
        <v>219</v>
      </c>
    </row>
    <row r="58" spans="1:4" x14ac:dyDescent="0.3">
      <c r="A58" s="24" t="s">
        <v>56</v>
      </c>
      <c r="D58" s="24" t="s">
        <v>57</v>
      </c>
    </row>
    <row r="59" spans="1:4" x14ac:dyDescent="0.3">
      <c r="A59" t="s">
        <v>9</v>
      </c>
    </row>
    <row r="60" spans="1:4" x14ac:dyDescent="0.3">
      <c r="A60" t="s">
        <v>50</v>
      </c>
    </row>
    <row r="61" spans="1:4" x14ac:dyDescent="0.3">
      <c r="A61" s="3" t="s">
        <v>60</v>
      </c>
      <c r="B61" s="6" t="e">
        <f>(B60*B4*24)/(B5*100)</f>
        <v>#DIV/0!</v>
      </c>
      <c r="C61" s="29" t="s">
        <v>219</v>
      </c>
    </row>
    <row r="63" spans="1:4" x14ac:dyDescent="0.3">
      <c r="A63" s="24" t="s">
        <v>68</v>
      </c>
      <c r="D63" s="24" t="s">
        <v>69</v>
      </c>
    </row>
    <row r="64" spans="1:4" x14ac:dyDescent="0.3">
      <c r="A64" t="s">
        <v>9</v>
      </c>
    </row>
    <row r="65" spans="1:4" x14ac:dyDescent="0.3">
      <c r="A65" t="s">
        <v>71</v>
      </c>
    </row>
    <row r="66" spans="1:4" x14ac:dyDescent="0.3">
      <c r="A66" s="3" t="s">
        <v>73</v>
      </c>
      <c r="B66" s="6" t="e">
        <f>(B65*B4*24)/(B5*1000)</f>
        <v>#DIV/0!</v>
      </c>
      <c r="C66" s="29" t="s">
        <v>220</v>
      </c>
    </row>
    <row r="68" spans="1:4" x14ac:dyDescent="0.3">
      <c r="A68" s="24" t="s">
        <v>63</v>
      </c>
      <c r="D68" s="24" t="s">
        <v>229</v>
      </c>
    </row>
    <row r="69" spans="1:4" x14ac:dyDescent="0.3">
      <c r="A69" t="s">
        <v>9</v>
      </c>
    </row>
    <row r="70" spans="1:4" x14ac:dyDescent="0.3">
      <c r="A70" t="s">
        <v>65</v>
      </c>
    </row>
    <row r="71" spans="1:4" x14ac:dyDescent="0.3">
      <c r="A71" s="3" t="s">
        <v>67</v>
      </c>
      <c r="B71" s="6" t="e">
        <f>(B70*B4*24)/(B5*100000)</f>
        <v>#DIV/0!</v>
      </c>
      <c r="C71" s="29" t="s">
        <v>210</v>
      </c>
    </row>
    <row r="73" spans="1:4" x14ac:dyDescent="0.3">
      <c r="A73" s="24" t="s">
        <v>70</v>
      </c>
      <c r="D73" s="24" t="s">
        <v>234</v>
      </c>
    </row>
    <row r="74" spans="1:4" x14ac:dyDescent="0.3">
      <c r="A74" t="s">
        <v>9</v>
      </c>
    </row>
    <row r="75" spans="1:4" x14ac:dyDescent="0.3">
      <c r="A75" t="s">
        <v>72</v>
      </c>
    </row>
    <row r="76" spans="1:4" x14ac:dyDescent="0.3">
      <c r="A76" s="3" t="s">
        <v>74</v>
      </c>
      <c r="B76" s="6" t="e">
        <f>(B75*B4*24)/(B5*100)</f>
        <v>#DIV/0!</v>
      </c>
      <c r="C76" s="29" t="s">
        <v>219</v>
      </c>
    </row>
  </sheetData>
  <sheetProtection sheet="1" objects="1" scenarios="1" selectLockedCells="1"/>
  <pageMargins left="0.7" right="0.7" top="0.75" bottom="0.75" header="0.3" footer="0.3"/>
  <pageSetup scale="59" orientation="portrait" horizontalDpi="200"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6"/>
  <sheetViews>
    <sheetView tabSelected="1" workbookViewId="0">
      <selection activeCell="B26" sqref="B26"/>
    </sheetView>
  </sheetViews>
  <sheetFormatPr defaultRowHeight="15" x14ac:dyDescent="0.25"/>
  <cols>
    <col min="1" max="1" width="53.42578125" style="1" bestFit="1" customWidth="1"/>
    <col min="2" max="3" width="9.140625" style="1"/>
    <col min="4" max="4" width="49.85546875" style="1" bestFit="1" customWidth="1"/>
    <col min="5" max="16384" width="9.140625" style="1"/>
  </cols>
  <sheetData>
    <row r="1" spans="1:4" ht="18.75" x14ac:dyDescent="0.3">
      <c r="A1" s="40" t="s">
        <v>141</v>
      </c>
      <c r="B1" s="40"/>
      <c r="C1" s="40"/>
      <c r="D1" s="27"/>
    </row>
    <row r="2" spans="1:4" x14ac:dyDescent="0.25">
      <c r="A2" s="29" t="s">
        <v>9</v>
      </c>
    </row>
    <row r="3" spans="1:4" x14ac:dyDescent="0.25">
      <c r="A3" s="29" t="s">
        <v>142</v>
      </c>
    </row>
    <row r="4" spans="1:4" x14ac:dyDescent="0.25">
      <c r="A4" s="29" t="s">
        <v>143</v>
      </c>
      <c r="B4" s="28"/>
    </row>
    <row r="5" spans="1:4" x14ac:dyDescent="0.25">
      <c r="A5" s="29" t="s">
        <v>144</v>
      </c>
      <c r="B5" s="28"/>
    </row>
    <row r="6" spans="1:4" x14ac:dyDescent="0.25">
      <c r="A6" s="29" t="s">
        <v>145</v>
      </c>
      <c r="B6" s="28"/>
    </row>
    <row r="7" spans="1:4" x14ac:dyDescent="0.25">
      <c r="A7" s="29" t="s">
        <v>146</v>
      </c>
      <c r="B7" s="28"/>
    </row>
    <row r="8" spans="1:4" x14ac:dyDescent="0.25">
      <c r="A8" s="29" t="s">
        <v>147</v>
      </c>
      <c r="B8" s="28"/>
    </row>
    <row r="9" spans="1:4" x14ac:dyDescent="0.25">
      <c r="A9" s="29" t="s">
        <v>148</v>
      </c>
      <c r="B9" s="28"/>
    </row>
    <row r="10" spans="1:4" x14ac:dyDescent="0.25">
      <c r="A10" s="29" t="s">
        <v>190</v>
      </c>
      <c r="B10" s="28"/>
    </row>
    <row r="11" spans="1:4" x14ac:dyDescent="0.25">
      <c r="A11" s="29" t="s">
        <v>191</v>
      </c>
      <c r="B11" s="28"/>
    </row>
    <row r="12" spans="1:4" x14ac:dyDescent="0.25">
      <c r="A12" s="29" t="s">
        <v>192</v>
      </c>
      <c r="B12" s="28"/>
    </row>
    <row r="13" spans="1:4" x14ac:dyDescent="0.25">
      <c r="A13" s="29" t="s">
        <v>193</v>
      </c>
      <c r="B13" s="28"/>
    </row>
    <row r="14" spans="1:4" x14ac:dyDescent="0.25">
      <c r="A14" s="29" t="s">
        <v>194</v>
      </c>
      <c r="B14" s="28"/>
    </row>
    <row r="15" spans="1:4" ht="18.75" x14ac:dyDescent="0.3">
      <c r="A15" s="30" t="s">
        <v>149</v>
      </c>
      <c r="B15" s="17">
        <f t="shared" ref="B15:B20" si="0">B$3*B4</f>
        <v>0</v>
      </c>
      <c r="C15" s="1" t="s">
        <v>228</v>
      </c>
      <c r="D15" s="35" t="s">
        <v>150</v>
      </c>
    </row>
    <row r="16" spans="1:4" ht="18.75" x14ac:dyDescent="0.3">
      <c r="A16" s="30" t="s">
        <v>151</v>
      </c>
      <c r="B16" s="17">
        <f t="shared" si="0"/>
        <v>0</v>
      </c>
      <c r="C16" s="1" t="s">
        <v>228</v>
      </c>
      <c r="D16" s="35" t="s">
        <v>152</v>
      </c>
    </row>
    <row r="17" spans="1:4" ht="18.75" x14ac:dyDescent="0.3">
      <c r="A17" s="30" t="s">
        <v>153</v>
      </c>
      <c r="B17" s="17">
        <f t="shared" si="0"/>
        <v>0</v>
      </c>
      <c r="C17" s="1" t="s">
        <v>228</v>
      </c>
      <c r="D17" s="35" t="s">
        <v>154</v>
      </c>
    </row>
    <row r="18" spans="1:4" ht="18.75" x14ac:dyDescent="0.3">
      <c r="A18" s="30" t="s">
        <v>155</v>
      </c>
      <c r="B18" s="17">
        <f t="shared" si="0"/>
        <v>0</v>
      </c>
      <c r="C18" s="1" t="s">
        <v>228</v>
      </c>
      <c r="D18" s="35" t="s">
        <v>156</v>
      </c>
    </row>
    <row r="19" spans="1:4" ht="18.75" x14ac:dyDescent="0.3">
      <c r="A19" s="30" t="s">
        <v>157</v>
      </c>
      <c r="B19" s="17">
        <f t="shared" si="0"/>
        <v>0</v>
      </c>
      <c r="C19" s="1" t="s">
        <v>228</v>
      </c>
      <c r="D19" s="35" t="s">
        <v>158</v>
      </c>
    </row>
    <row r="20" spans="1:4" ht="18.75" x14ac:dyDescent="0.3">
      <c r="A20" s="30" t="s">
        <v>159</v>
      </c>
      <c r="B20" s="17">
        <f t="shared" si="0"/>
        <v>0</v>
      </c>
      <c r="C20" s="1" t="s">
        <v>228</v>
      </c>
      <c r="D20" s="35" t="s">
        <v>160</v>
      </c>
    </row>
    <row r="21" spans="1:4" ht="18.75" x14ac:dyDescent="0.3">
      <c r="A21" s="30" t="s">
        <v>223</v>
      </c>
      <c r="B21" s="38">
        <f>B10*B$3</f>
        <v>0</v>
      </c>
      <c r="C21" s="1" t="s">
        <v>228</v>
      </c>
      <c r="D21" s="35" t="s">
        <v>195</v>
      </c>
    </row>
    <row r="22" spans="1:4" ht="18.75" x14ac:dyDescent="0.3">
      <c r="A22" s="30" t="s">
        <v>224</v>
      </c>
      <c r="B22" s="38">
        <f t="shared" ref="B22:B25" si="1">B11*B$3</f>
        <v>0</v>
      </c>
      <c r="C22" s="1" t="s">
        <v>228</v>
      </c>
      <c r="D22" s="35" t="s">
        <v>196</v>
      </c>
    </row>
    <row r="23" spans="1:4" ht="18.75" x14ac:dyDescent="0.3">
      <c r="A23" s="30" t="s">
        <v>225</v>
      </c>
      <c r="B23" s="38">
        <f t="shared" si="1"/>
        <v>0</v>
      </c>
      <c r="C23" s="1" t="s">
        <v>228</v>
      </c>
      <c r="D23" s="35" t="s">
        <v>197</v>
      </c>
    </row>
    <row r="24" spans="1:4" ht="18.75" x14ac:dyDescent="0.3">
      <c r="A24" s="30" t="s">
        <v>226</v>
      </c>
      <c r="B24" s="38">
        <f t="shared" si="1"/>
        <v>0</v>
      </c>
      <c r="C24" s="1" t="s">
        <v>228</v>
      </c>
      <c r="D24" s="35" t="s">
        <v>198</v>
      </c>
    </row>
    <row r="25" spans="1:4" ht="18.75" x14ac:dyDescent="0.3">
      <c r="A25" s="30" t="s">
        <v>227</v>
      </c>
      <c r="B25" s="38">
        <f t="shared" si="1"/>
        <v>0</v>
      </c>
      <c r="C25" s="1" t="s">
        <v>228</v>
      </c>
      <c r="D25" s="35" t="s">
        <v>199</v>
      </c>
    </row>
    <row r="26" spans="1:4" ht="18.75" x14ac:dyDescent="0.3">
      <c r="D26" s="24"/>
    </row>
  </sheetData>
  <sheetProtection sheet="1" objects="1" scenarios="1" selectLockedCells="1"/>
  <mergeCells count="1">
    <mergeCell ref="A1:C1"/>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D6"/>
  <sheetViews>
    <sheetView workbookViewId="0">
      <selection activeCell="B5" sqref="B5"/>
    </sheetView>
  </sheetViews>
  <sheetFormatPr defaultColWidth="9.140625" defaultRowHeight="15" x14ac:dyDescent="0.25"/>
  <cols>
    <col min="1" max="1" width="27.140625" style="1" bestFit="1" customWidth="1"/>
    <col min="2" max="3" width="9.140625" style="1"/>
    <col min="4" max="4" width="40.85546875" style="1" bestFit="1" customWidth="1"/>
    <col min="5" max="16384" width="9.140625" style="1"/>
  </cols>
  <sheetData>
    <row r="1" spans="1:4" ht="21" x14ac:dyDescent="0.35">
      <c r="A1" s="4" t="s">
        <v>40</v>
      </c>
      <c r="D1" s="4" t="s">
        <v>41</v>
      </c>
    </row>
    <row r="2" spans="1:4" ht="21" x14ac:dyDescent="0.35">
      <c r="A2" t="s">
        <v>9</v>
      </c>
      <c r="D2" s="4"/>
    </row>
    <row r="3" spans="1:4" x14ac:dyDescent="0.25">
      <c r="A3" t="s">
        <v>36</v>
      </c>
    </row>
    <row r="4" spans="1:4" x14ac:dyDescent="0.25">
      <c r="A4" t="s">
        <v>42</v>
      </c>
    </row>
    <row r="5" spans="1:4" x14ac:dyDescent="0.25">
      <c r="A5" t="s">
        <v>43</v>
      </c>
    </row>
    <row r="6" spans="1:4" x14ac:dyDescent="0.25">
      <c r="A6" s="3" t="s">
        <v>44</v>
      </c>
      <c r="B6" s="3">
        <f>B3-(B4+B5)</f>
        <v>0</v>
      </c>
      <c r="C6" s="29" t="s">
        <v>204</v>
      </c>
    </row>
  </sheetData>
  <sheetProtection sheet="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0E140-3AAA-4D30-A5FE-D16852898DCC}">
  <dimension ref="A1:D4"/>
  <sheetViews>
    <sheetView workbookViewId="0">
      <selection activeCell="B3" sqref="B3"/>
    </sheetView>
  </sheetViews>
  <sheetFormatPr defaultRowHeight="15" x14ac:dyDescent="0.25"/>
  <cols>
    <col min="1" max="1" width="39" style="1" bestFit="1" customWidth="1"/>
    <col min="2" max="3" width="9.140625" style="1"/>
    <col min="4" max="4" width="23.85546875" style="1" bestFit="1" customWidth="1"/>
    <col min="5" max="16384" width="9.140625" style="1"/>
  </cols>
  <sheetData>
    <row r="1" spans="1:4" ht="18.75" x14ac:dyDescent="0.3">
      <c r="A1" s="35" t="s">
        <v>230</v>
      </c>
    </row>
    <row r="2" spans="1:4" x14ac:dyDescent="0.25">
      <c r="A2" s="29" t="s">
        <v>9</v>
      </c>
    </row>
    <row r="3" spans="1:4" x14ac:dyDescent="0.25">
      <c r="A3" s="29" t="s">
        <v>231</v>
      </c>
    </row>
    <row r="4" spans="1:4" ht="18.75" x14ac:dyDescent="0.3">
      <c r="A4" s="30" t="s">
        <v>232</v>
      </c>
      <c r="B4" s="30">
        <f>(28.7*B3)-46.7</f>
        <v>-46.7</v>
      </c>
      <c r="C4" s="29" t="s">
        <v>210</v>
      </c>
      <c r="D4" s="35" t="s">
        <v>233</v>
      </c>
    </row>
  </sheetData>
  <sheetProtection sheet="1" objects="1" scenarios="1" select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election activeCell="C11" sqref="C11"/>
    </sheetView>
  </sheetViews>
  <sheetFormatPr defaultRowHeight="15" x14ac:dyDescent="0.25"/>
  <cols>
    <col min="1" max="1" width="36" style="1" bestFit="1" customWidth="1"/>
    <col min="2" max="2" width="9.140625" style="1"/>
    <col min="3" max="3" width="17.85546875" style="1" customWidth="1"/>
    <col min="4" max="16384" width="9.140625" style="1"/>
  </cols>
  <sheetData>
    <row r="1" spans="1:4" ht="18.75" x14ac:dyDescent="0.3">
      <c r="A1" s="39" t="s">
        <v>161</v>
      </c>
      <c r="B1" s="39"/>
      <c r="C1" s="39"/>
    </row>
    <row r="2" spans="1:4" x14ac:dyDescent="0.25">
      <c r="A2" t="s">
        <v>9</v>
      </c>
    </row>
    <row r="3" spans="1:4" x14ac:dyDescent="0.25">
      <c r="A3" t="s">
        <v>162</v>
      </c>
    </row>
    <row r="4" spans="1:4" ht="18.75" x14ac:dyDescent="0.3">
      <c r="A4" s="3" t="s">
        <v>163</v>
      </c>
      <c r="B4" s="3">
        <f>B3*1000</f>
        <v>0</v>
      </c>
      <c r="D4" s="24" t="s">
        <v>164</v>
      </c>
    </row>
    <row r="5" spans="1:4" x14ac:dyDescent="0.25">
      <c r="A5" t="s">
        <v>165</v>
      </c>
    </row>
    <row r="6" spans="1:4" ht="18.75" x14ac:dyDescent="0.3">
      <c r="A6" s="3" t="s">
        <v>203</v>
      </c>
      <c r="B6" s="3">
        <f>B5*100000</f>
        <v>0</v>
      </c>
      <c r="C6" s="29" t="s">
        <v>205</v>
      </c>
      <c r="D6" s="24" t="s">
        <v>166</v>
      </c>
    </row>
  </sheetData>
  <sheetProtection sheet="1" objects="1" scenarios="1" selectLockedCells="1"/>
  <mergeCells count="1">
    <mergeCell ref="A1: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5"/>
  <sheetViews>
    <sheetView workbookViewId="0">
      <selection activeCell="B16" sqref="B16"/>
    </sheetView>
  </sheetViews>
  <sheetFormatPr defaultRowHeight="15" x14ac:dyDescent="0.25"/>
  <cols>
    <col min="1" max="1" width="51.85546875" style="1" bestFit="1" customWidth="1"/>
    <col min="2" max="2" width="9.5703125" style="1" bestFit="1" customWidth="1"/>
    <col min="3" max="16384" width="9.140625" style="1"/>
  </cols>
  <sheetData>
    <row r="1" spans="1:18" ht="18.75" x14ac:dyDescent="0.3">
      <c r="A1" s="40" t="s">
        <v>167</v>
      </c>
      <c r="B1" s="40"/>
      <c r="C1" s="40"/>
    </row>
    <row r="2" spans="1:18" x14ac:dyDescent="0.25">
      <c r="A2" s="29" t="s">
        <v>9</v>
      </c>
    </row>
    <row r="3" spans="1:18" ht="15" customHeight="1" x14ac:dyDescent="0.25">
      <c r="A3" s="29" t="s">
        <v>170</v>
      </c>
      <c r="D3" s="41" t="s">
        <v>175</v>
      </c>
      <c r="E3" s="41"/>
      <c r="F3" s="41"/>
      <c r="G3" s="41"/>
      <c r="H3" s="41"/>
      <c r="I3" s="41"/>
      <c r="J3" s="41"/>
      <c r="K3" s="41"/>
      <c r="L3" s="41"/>
      <c r="M3" s="41"/>
      <c r="N3" s="41"/>
      <c r="O3" s="41"/>
      <c r="P3" s="41"/>
      <c r="Q3" s="41"/>
      <c r="R3" s="41"/>
    </row>
    <row r="4" spans="1:18" x14ac:dyDescent="0.25">
      <c r="A4" s="29" t="s">
        <v>171</v>
      </c>
      <c r="D4" s="41"/>
      <c r="E4" s="41"/>
      <c r="F4" s="41"/>
      <c r="G4" s="41"/>
      <c r="H4" s="41"/>
      <c r="I4" s="41"/>
      <c r="J4" s="41"/>
      <c r="K4" s="41"/>
      <c r="L4" s="41"/>
      <c r="M4" s="41"/>
      <c r="N4" s="41"/>
      <c r="O4" s="41"/>
      <c r="P4" s="41"/>
      <c r="Q4" s="41"/>
      <c r="R4" s="41"/>
    </row>
    <row r="5" spans="1:18" x14ac:dyDescent="0.25">
      <c r="A5" s="29" t="s">
        <v>172</v>
      </c>
      <c r="D5" s="41"/>
      <c r="E5" s="41"/>
      <c r="F5" s="41"/>
      <c r="G5" s="41"/>
      <c r="H5" s="41"/>
      <c r="I5" s="41"/>
      <c r="J5" s="41"/>
      <c r="K5" s="41"/>
      <c r="L5" s="41"/>
      <c r="M5" s="41"/>
      <c r="N5" s="41"/>
      <c r="O5" s="41"/>
      <c r="P5" s="41"/>
      <c r="Q5" s="41"/>
      <c r="R5" s="41"/>
    </row>
    <row r="6" spans="1:18" x14ac:dyDescent="0.25">
      <c r="A6" s="29" t="s">
        <v>173</v>
      </c>
      <c r="D6" s="41"/>
      <c r="E6" s="41"/>
      <c r="F6" s="41"/>
      <c r="G6" s="41"/>
      <c r="H6" s="41"/>
      <c r="I6" s="41"/>
      <c r="J6" s="41"/>
      <c r="K6" s="41"/>
      <c r="L6" s="41"/>
      <c r="M6" s="41"/>
      <c r="N6" s="41"/>
      <c r="O6" s="41"/>
      <c r="P6" s="41"/>
      <c r="Q6" s="41"/>
      <c r="R6" s="41"/>
    </row>
    <row r="7" spans="1:18" x14ac:dyDescent="0.25">
      <c r="A7" s="29" t="s">
        <v>174</v>
      </c>
    </row>
    <row r="8" spans="1:18" x14ac:dyDescent="0.25">
      <c r="A8" s="30" t="s">
        <v>168</v>
      </c>
      <c r="B8" s="31" t="e">
        <f>(((B3+B4)/2)*B5)/(B6*B7)</f>
        <v>#DIV/0!</v>
      </c>
      <c r="C8" s="29" t="s">
        <v>206</v>
      </c>
    </row>
    <row r="10" spans="1:18" x14ac:dyDescent="0.25">
      <c r="A10" s="29" t="s">
        <v>176</v>
      </c>
      <c r="D10" s="41" t="s">
        <v>181</v>
      </c>
      <c r="E10" s="41"/>
      <c r="F10" s="41"/>
      <c r="G10" s="41"/>
      <c r="H10" s="41"/>
      <c r="I10" s="41"/>
      <c r="J10" s="41"/>
      <c r="K10" s="41"/>
      <c r="L10" s="41"/>
      <c r="M10" s="41"/>
      <c r="N10" s="41"/>
      <c r="O10" s="41"/>
      <c r="P10" s="41"/>
      <c r="Q10" s="41"/>
      <c r="R10" s="41"/>
    </row>
    <row r="11" spans="1:18" x14ac:dyDescent="0.25">
      <c r="A11" s="29" t="s">
        <v>177</v>
      </c>
      <c r="D11" s="41"/>
      <c r="E11" s="41"/>
      <c r="F11" s="41"/>
      <c r="G11" s="41"/>
      <c r="H11" s="41"/>
      <c r="I11" s="41"/>
      <c r="J11" s="41"/>
      <c r="K11" s="41"/>
      <c r="L11" s="41"/>
      <c r="M11" s="41"/>
      <c r="N11" s="41"/>
      <c r="O11" s="41"/>
      <c r="P11" s="41"/>
      <c r="Q11" s="41"/>
      <c r="R11" s="41"/>
    </row>
    <row r="12" spans="1:18" x14ac:dyDescent="0.25">
      <c r="A12" s="29" t="s">
        <v>178</v>
      </c>
      <c r="D12" s="41"/>
      <c r="E12" s="41"/>
      <c r="F12" s="41"/>
      <c r="G12" s="41"/>
      <c r="H12" s="41"/>
      <c r="I12" s="41"/>
      <c r="J12" s="41"/>
      <c r="K12" s="41"/>
      <c r="L12" s="41"/>
      <c r="M12" s="41"/>
      <c r="N12" s="41"/>
      <c r="O12" s="41"/>
      <c r="P12" s="41"/>
      <c r="Q12" s="41"/>
      <c r="R12" s="41"/>
    </row>
    <row r="13" spans="1:18" x14ac:dyDescent="0.25">
      <c r="A13" s="29" t="s">
        <v>179</v>
      </c>
    </row>
    <row r="14" spans="1:18" x14ac:dyDescent="0.25">
      <c r="A14" s="29" t="s">
        <v>180</v>
      </c>
    </row>
    <row r="15" spans="1:18" x14ac:dyDescent="0.25">
      <c r="A15" s="30" t="s">
        <v>169</v>
      </c>
      <c r="B15" s="30" t="e">
        <f>(((B10+B11))/2)*((B12)/(B13*B14))</f>
        <v>#DIV/0!</v>
      </c>
      <c r="C15" s="29" t="s">
        <v>206</v>
      </c>
    </row>
  </sheetData>
  <sheetProtection sheet="1" objects="1" scenarios="1" selectLockedCells="1"/>
  <mergeCells count="3">
    <mergeCell ref="A1:C1"/>
    <mergeCell ref="D3:R6"/>
    <mergeCell ref="D10:R12"/>
  </mergeCells>
  <pageMargins left="0.7" right="0.7" top="0.75" bottom="0.75"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election activeCell="B18" sqref="B18"/>
    </sheetView>
  </sheetViews>
  <sheetFormatPr defaultColWidth="9.140625" defaultRowHeight="15" x14ac:dyDescent="0.25"/>
  <cols>
    <col min="1" max="1" width="44.140625" style="1" bestFit="1" customWidth="1"/>
    <col min="2" max="2" width="9.5703125" style="1" bestFit="1" customWidth="1"/>
    <col min="3" max="3" width="9.140625" style="1"/>
    <col min="4" max="4" width="90" style="1" customWidth="1"/>
    <col min="5" max="16384" width="9.140625" style="1"/>
  </cols>
  <sheetData>
    <row r="1" spans="1:4" ht="21" x14ac:dyDescent="0.35">
      <c r="A1" s="33" t="s">
        <v>99</v>
      </c>
      <c r="D1" s="34" t="s">
        <v>100</v>
      </c>
    </row>
    <row r="2" spans="1:4" ht="21" x14ac:dyDescent="0.25">
      <c r="A2" s="29" t="s">
        <v>9</v>
      </c>
      <c r="D2" s="15"/>
    </row>
    <row r="3" spans="1:4" x14ac:dyDescent="0.25">
      <c r="A3" s="29" t="s">
        <v>49</v>
      </c>
    </row>
    <row r="4" spans="1:4" x14ac:dyDescent="0.25">
      <c r="A4" s="29" t="s">
        <v>101</v>
      </c>
    </row>
    <row r="5" spans="1:4" x14ac:dyDescent="0.25">
      <c r="A5" s="29" t="s">
        <v>51</v>
      </c>
    </row>
    <row r="6" spans="1:4" x14ac:dyDescent="0.25">
      <c r="A6" s="29" t="s">
        <v>52</v>
      </c>
    </row>
    <row r="7" spans="1:4" x14ac:dyDescent="0.25">
      <c r="A7" s="30" t="s">
        <v>102</v>
      </c>
      <c r="B7" s="31" t="e">
        <f>(B3/B4)*(B5/(B6*60))</f>
        <v>#DIV/0!</v>
      </c>
      <c r="C7" s="29" t="s">
        <v>207</v>
      </c>
    </row>
    <row r="9" spans="1:4" ht="18.75" x14ac:dyDescent="0.3">
      <c r="A9" s="35" t="s">
        <v>185</v>
      </c>
      <c r="D9" s="35" t="s">
        <v>189</v>
      </c>
    </row>
    <row r="10" spans="1:4" x14ac:dyDescent="0.25">
      <c r="A10" s="29" t="s">
        <v>9</v>
      </c>
    </row>
    <row r="11" spans="1:4" x14ac:dyDescent="0.25">
      <c r="A11" s="29" t="s">
        <v>49</v>
      </c>
    </row>
    <row r="12" spans="1:4" x14ac:dyDescent="0.25">
      <c r="A12" s="29" t="s">
        <v>101</v>
      </c>
    </row>
    <row r="13" spans="1:4" x14ac:dyDescent="0.25">
      <c r="A13" s="29" t="s">
        <v>51</v>
      </c>
    </row>
    <row r="14" spans="1:4" x14ac:dyDescent="0.25">
      <c r="A14" s="29" t="s">
        <v>52</v>
      </c>
    </row>
    <row r="15" spans="1:4" x14ac:dyDescent="0.25">
      <c r="A15" s="29" t="s">
        <v>186</v>
      </c>
    </row>
    <row r="16" spans="1:4" x14ac:dyDescent="0.25">
      <c r="A16" s="29" t="s">
        <v>187</v>
      </c>
    </row>
    <row r="17" spans="1:3" x14ac:dyDescent="0.25">
      <c r="A17" s="30" t="s">
        <v>188</v>
      </c>
      <c r="B17" s="31" t="e">
        <f>B11/B12*B13/(B14*60)*1.73/((B15*B16/3600)^0.5)</f>
        <v>#DIV/0!</v>
      </c>
      <c r="C17" s="29" t="s">
        <v>207</v>
      </c>
    </row>
  </sheetData>
  <sheetProtection sheet="1" objects="1" scenarios="1" select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workbookViewId="0">
      <selection activeCell="B17" sqref="B17"/>
    </sheetView>
  </sheetViews>
  <sheetFormatPr defaultColWidth="9.140625" defaultRowHeight="15" x14ac:dyDescent="0.25"/>
  <cols>
    <col min="1" max="1" width="27.140625" style="1" bestFit="1" customWidth="1"/>
    <col min="2" max="2" width="22.28515625" style="1" customWidth="1"/>
    <col min="3" max="3" width="15.140625" style="1" bestFit="1" customWidth="1"/>
    <col min="4" max="4" width="40.140625" style="1" bestFit="1" customWidth="1"/>
    <col min="5" max="16384" width="9.140625" style="1"/>
  </cols>
  <sheetData>
    <row r="1" spans="1:5" ht="21" x14ac:dyDescent="0.35">
      <c r="A1" s="42" t="s">
        <v>8</v>
      </c>
      <c r="B1" s="42"/>
      <c r="D1" s="13"/>
    </row>
    <row r="2" spans="1:5" ht="21" x14ac:dyDescent="0.35">
      <c r="A2" t="s">
        <v>9</v>
      </c>
      <c r="B2" s="14"/>
      <c r="C2" s="13"/>
    </row>
    <row r="3" spans="1:5" x14ac:dyDescent="0.25">
      <c r="A3" t="s">
        <v>10</v>
      </c>
    </row>
    <row r="4" spans="1:5" x14ac:dyDescent="0.25">
      <c r="A4" t="s">
        <v>11</v>
      </c>
      <c r="D4" t="s">
        <v>12</v>
      </c>
    </row>
    <row r="5" spans="1:5" ht="21" x14ac:dyDescent="0.35">
      <c r="A5" s="3" t="s">
        <v>13</v>
      </c>
      <c r="B5" s="6" t="e">
        <f>175*(B3^-1.154)*(B4^-0.203)*1.212</f>
        <v>#DIV/0!</v>
      </c>
      <c r="C5" s="29" t="s">
        <v>208</v>
      </c>
      <c r="D5" t="s">
        <v>14</v>
      </c>
      <c r="E5" s="4" t="s">
        <v>15</v>
      </c>
    </row>
    <row r="6" spans="1:5" ht="21" x14ac:dyDescent="0.35">
      <c r="A6" s="3" t="s">
        <v>16</v>
      </c>
      <c r="B6" s="6" t="e">
        <f>175*(B3^-1.154)*(B4^-0.203)</f>
        <v>#DIV/0!</v>
      </c>
      <c r="C6" s="29" t="s">
        <v>208</v>
      </c>
      <c r="D6" t="s">
        <v>17</v>
      </c>
      <c r="E6" s="4" t="s">
        <v>18</v>
      </c>
    </row>
    <row r="8" spans="1:5" x14ac:dyDescent="0.25">
      <c r="D8" s="1" t="s">
        <v>19</v>
      </c>
    </row>
    <row r="11" spans="1:5" ht="21" x14ac:dyDescent="0.35">
      <c r="A11" s="42" t="s">
        <v>20</v>
      </c>
      <c r="B11" s="42"/>
    </row>
    <row r="12" spans="1:5" ht="21" x14ac:dyDescent="0.35">
      <c r="A12" t="s">
        <v>9</v>
      </c>
      <c r="B12" s="5"/>
      <c r="D12" s="4"/>
    </row>
    <row r="13" spans="1:5" x14ac:dyDescent="0.25">
      <c r="A13" t="s">
        <v>10</v>
      </c>
      <c r="B13" s="2"/>
    </row>
    <row r="14" spans="1:5" x14ac:dyDescent="0.25">
      <c r="A14" t="s">
        <v>11</v>
      </c>
      <c r="D14" t="s">
        <v>12</v>
      </c>
    </row>
    <row r="15" spans="1:5" ht="21" x14ac:dyDescent="0.35">
      <c r="A15" s="3" t="s">
        <v>21</v>
      </c>
      <c r="B15" s="6" t="e">
        <f>175*(B13^-1.154)*(B14^-0.203)*0.742*1.212</f>
        <v>#DIV/0!</v>
      </c>
      <c r="C15" s="29" t="s">
        <v>208</v>
      </c>
      <c r="D15" t="s">
        <v>22</v>
      </c>
      <c r="E15" s="4" t="s">
        <v>23</v>
      </c>
    </row>
    <row r="16" spans="1:5" ht="21" x14ac:dyDescent="0.35">
      <c r="A16" s="3" t="s">
        <v>24</v>
      </c>
      <c r="B16" s="6" t="e">
        <f>175*(B13^-1.154)*(B14^-0.203)*0.742</f>
        <v>#DIV/0!</v>
      </c>
      <c r="C16" s="29" t="s">
        <v>208</v>
      </c>
      <c r="D16" t="s">
        <v>25</v>
      </c>
      <c r="E16" s="4" t="s">
        <v>26</v>
      </c>
    </row>
    <row r="18" spans="4:4" x14ac:dyDescent="0.25">
      <c r="D18" t="s">
        <v>19</v>
      </c>
    </row>
  </sheetData>
  <sheetProtection sheet="1" selectLockedCells="1"/>
  <mergeCells count="2">
    <mergeCell ref="A1:B1"/>
    <mergeCell ref="A11:B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
  <sheetViews>
    <sheetView workbookViewId="0">
      <selection activeCell="B4" sqref="B4"/>
    </sheetView>
  </sheetViews>
  <sheetFormatPr defaultColWidth="9.140625" defaultRowHeight="15" x14ac:dyDescent="0.25"/>
  <cols>
    <col min="1" max="1" width="35.7109375" style="1" bestFit="1" customWidth="1"/>
    <col min="2" max="2" width="9.5703125" style="1" bestFit="1" customWidth="1"/>
    <col min="3" max="16384" width="9.140625" style="1"/>
  </cols>
  <sheetData>
    <row r="1" spans="1:4" ht="21" x14ac:dyDescent="0.35">
      <c r="A1" s="4" t="s">
        <v>104</v>
      </c>
      <c r="C1" s="4" t="s">
        <v>105</v>
      </c>
    </row>
    <row r="2" spans="1:4" x14ac:dyDescent="0.25">
      <c r="A2" t="s">
        <v>9</v>
      </c>
    </row>
    <row r="3" spans="1:4" x14ac:dyDescent="0.25">
      <c r="A3" t="s">
        <v>106</v>
      </c>
      <c r="D3" t="s">
        <v>107</v>
      </c>
    </row>
    <row r="4" spans="1:4" x14ac:dyDescent="0.25">
      <c r="A4" t="s">
        <v>108</v>
      </c>
    </row>
    <row r="5" spans="1:4" x14ac:dyDescent="0.25">
      <c r="A5" s="3" t="s">
        <v>109</v>
      </c>
      <c r="B5" s="17" t="e">
        <f>B3/B4</f>
        <v>#DIV/0!</v>
      </c>
      <c r="C5" s="29" t="s">
        <v>209</v>
      </c>
    </row>
  </sheetData>
  <sheetProtection sheet="1" objects="1" scenarios="1" selectLockedCell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D6"/>
  <sheetViews>
    <sheetView workbookViewId="0">
      <selection activeCell="B7" sqref="B7"/>
    </sheetView>
  </sheetViews>
  <sheetFormatPr defaultColWidth="9.140625" defaultRowHeight="15" x14ac:dyDescent="0.25"/>
  <cols>
    <col min="1" max="1" width="27.140625" style="1" bestFit="1" customWidth="1"/>
    <col min="2" max="3" width="9.140625" style="1"/>
    <col min="4" max="4" width="58.85546875" style="1" bestFit="1" customWidth="1"/>
    <col min="5" max="16384" width="9.140625" style="1"/>
  </cols>
  <sheetData>
    <row r="1" spans="1:4" ht="21" x14ac:dyDescent="0.35">
      <c r="A1" s="4" t="s">
        <v>27</v>
      </c>
      <c r="D1" s="4" t="s">
        <v>28</v>
      </c>
    </row>
    <row r="2" spans="1:4" x14ac:dyDescent="0.25">
      <c r="A2" t="s">
        <v>9</v>
      </c>
      <c r="D2"/>
    </row>
    <row r="3" spans="1:4" x14ac:dyDescent="0.25">
      <c r="A3" t="s">
        <v>29</v>
      </c>
    </row>
    <row r="4" spans="1:4" x14ac:dyDescent="0.25">
      <c r="A4" t="s">
        <v>30</v>
      </c>
    </row>
    <row r="5" spans="1:4" x14ac:dyDescent="0.25">
      <c r="A5" t="s">
        <v>31</v>
      </c>
      <c r="D5" s="29" t="s">
        <v>32</v>
      </c>
    </row>
    <row r="6" spans="1:4" x14ac:dyDescent="0.25">
      <c r="A6" s="3" t="s">
        <v>33</v>
      </c>
      <c r="B6" s="3">
        <f>B3-B4-B5/5</f>
        <v>0</v>
      </c>
      <c r="C6" s="29" t="s">
        <v>210</v>
      </c>
    </row>
  </sheetData>
  <sheetProtection sheet="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94D0E056854441BDC778B2547C6FAA" ma:contentTypeVersion="7" ma:contentTypeDescription="Create a new document." ma:contentTypeScope="" ma:versionID="f8b06ec40fcd28dffe162fba94cbf300">
  <xsd:schema xmlns:xsd="http://www.w3.org/2001/XMLSchema" xmlns:xs="http://www.w3.org/2001/XMLSchema" xmlns:p="http://schemas.microsoft.com/office/2006/metadata/properties" xmlns:ns2="43327522-2bac-4b48-a7de-bd7df3b6b71d" xmlns:ns3="a4234a1a-60a8-47d4-b1aa-ec4f1a27fa6d" targetNamespace="http://schemas.microsoft.com/office/2006/metadata/properties" ma:root="true" ma:fieldsID="9a7c237fa9271c90e24cc297d4339809" ns2:_="" ns3:_="">
    <xsd:import namespace="43327522-2bac-4b48-a7de-bd7df3b6b71d"/>
    <xsd:import namespace="a4234a1a-60a8-47d4-b1aa-ec4f1a27fa6d"/>
    <xsd:element name="properties">
      <xsd:complexType>
        <xsd:sequence>
          <xsd:element name="documentManagement">
            <xsd:complexType>
              <xsd:all>
                <xsd:element ref="ns2:MediaServiceMetadata" minOccurs="0"/>
                <xsd:element ref="ns2:MediaServiceFastMetadata" minOccurs="0"/>
                <xsd:element ref="ns2:Dateand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327522-2bac-4b48-a7de-bd7df3b6b7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eandTime" ma:index="10" nillable="true" ma:displayName="Date and Time" ma:format="DateOnly" ma:internalName="DateandTime">
      <xsd:simpleType>
        <xsd:restriction base="dms:DateTim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234a1a-60a8-47d4-b1aa-ec4f1a27fa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andTime xmlns="43327522-2bac-4b48-a7de-bd7df3b6b71d" xsi:nil="true"/>
  </documentManagement>
</p:properties>
</file>

<file path=customXml/itemProps1.xml><?xml version="1.0" encoding="utf-8"?>
<ds:datastoreItem xmlns:ds="http://schemas.openxmlformats.org/officeDocument/2006/customXml" ds:itemID="{F790F73B-32CC-49C3-922B-81B2F7AD04F9}">
  <ds:schemaRefs>
    <ds:schemaRef ds:uri="http://schemas.microsoft.com/sharepoint/v3/contenttype/forms"/>
  </ds:schemaRefs>
</ds:datastoreItem>
</file>

<file path=customXml/itemProps2.xml><?xml version="1.0" encoding="utf-8"?>
<ds:datastoreItem xmlns:ds="http://schemas.openxmlformats.org/officeDocument/2006/customXml" ds:itemID="{C7C390B2-2E30-45E6-A209-671BE5667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327522-2bac-4b48-a7de-bd7df3b6b71d"/>
    <ds:schemaRef ds:uri="a4234a1a-60a8-47d4-b1aa-ec4f1a27f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EABE6-C1BF-4B21-85D9-2BCB964D3634}">
  <ds:schemaRefs>
    <ds:schemaRef ds:uri="http://purl.org/dc/terms/"/>
    <ds:schemaRef ds:uri="http://purl.org/dc/dcmitype/"/>
    <ds:schemaRef ds:uri="a4234a1a-60a8-47d4-b1aa-ec4f1a27fa6d"/>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43327522-2bac-4b48-a7de-bd7df3b6b71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 Me</vt:lpstr>
      <vt:lpstr>ANION GAP</vt:lpstr>
      <vt:lpstr>AVERAGE MEAN GLUCOSE</vt:lpstr>
      <vt:lpstr>BODY FLUID, MANUAL COUNT</vt:lpstr>
      <vt:lpstr>CSF, MANUAL COUNT (HOSPITAL)</vt:lpstr>
      <vt:lpstr>CREATININE CLEARANCE</vt:lpstr>
      <vt:lpstr>GFR GLOMERULAR FILTRATION RATE </vt:lpstr>
      <vt:lpstr>KAPPA LAMBDA LIGHT CHAIN RATIO</vt:lpstr>
      <vt:lpstr>LDL CALCULATED</vt:lpstr>
      <vt:lpstr>MALB_CREAT RATIO RANDOM URINE</vt:lpstr>
      <vt:lpstr>MALB EXCRET RATE TIMED URINE</vt:lpstr>
      <vt:lpstr>OSMOLALITY</vt:lpstr>
      <vt:lpstr>PROTEIN_CREATININE RATIO URINE</vt:lpstr>
      <vt:lpstr>SEMEN ANALYSIS</vt:lpstr>
      <vt:lpstr>TIBC &amp; IRON SAT.</vt:lpstr>
      <vt:lpstr>TIMED URINE 24 HOURS</vt:lpstr>
      <vt:lpstr>WBC ABS COUNT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dc:creator>
  <cp:keywords/>
  <dc:description/>
  <cp:lastModifiedBy>Sheffler, Rachielle R.</cp:lastModifiedBy>
  <cp:revision/>
  <cp:lastPrinted>2021-06-01T23:58:47Z</cp:lastPrinted>
  <dcterms:created xsi:type="dcterms:W3CDTF">2021-05-03T16:37:27Z</dcterms:created>
  <dcterms:modified xsi:type="dcterms:W3CDTF">2022-09-16T21:16:17Z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0x0101000A94D0E056854441BDC778B2547C6FAA</vt:lpwstr>
  </property>
</Properties>
</file>